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fileSharing readOnlyRecommended="1"/>
  <workbookPr defaultThemeVersion="124226"/>
  <mc:AlternateContent xmlns:mc="http://schemas.openxmlformats.org/markup-compatibility/2006">
    <mc:Choice Requires="x15">
      <x15ac:absPath xmlns:x15ac="http://schemas.microsoft.com/office/spreadsheetml/2010/11/ac" url="https://wnugov.sharepoint.com/sites/NCC-EmployersandSystemsTeamLeaders/Shared Documents/Website/New website/Documents/Employers/"/>
    </mc:Choice>
  </mc:AlternateContent>
  <xr:revisionPtr revIDLastSave="0" documentId="8_{AB2B8987-1A10-4C43-B2FC-496946D48BEC}" xr6:coauthVersionLast="47" xr6:coauthVersionMax="47" xr10:uidLastSave="{00000000-0000-0000-0000-000000000000}"/>
  <bookViews>
    <workbookView xWindow="-120" yWindow="-120" windowWidth="29040" windowHeight="15720" firstSheet="1" activeTab="1" xr2:uid="{00000000-000D-0000-FFFF-FFFF00000000}"/>
  </bookViews>
  <sheets>
    <sheet name="Technical Stuff" sheetId="1" state="hidden" r:id="rId1"/>
    <sheet name="Input &amp; Results" sheetId="2" r:id="rId2"/>
    <sheet name="EXAMPLE" sheetId="4" r:id="rId3"/>
    <sheet name="Technical Stuff - EXAMPLE" sheetId="7" state="hidden" r:id="rId4"/>
    <sheet name="Sheet1" sheetId="3" state="hidden" r:id="rId5"/>
  </sheets>
  <definedNames>
    <definedName name="_xlnm.Print_Area" localSheetId="1">'Input &amp; Results'!$A$1:$I$30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4" l="1"/>
  <c r="H23" i="4"/>
  <c r="H22" i="4"/>
  <c r="D10" i="4"/>
  <c r="O4" i="7"/>
  <c r="M4" i="7"/>
  <c r="N4" i="7"/>
  <c r="B5" i="7"/>
  <c r="B6" i="7"/>
  <c r="B7" i="7"/>
  <c r="B8" i="7"/>
  <c r="F8" i="7" s="1"/>
  <c r="B9" i="7"/>
  <c r="B4" i="7"/>
  <c r="A5" i="7"/>
  <c r="A6" i="7"/>
  <c r="A7" i="7"/>
  <c r="A8" i="7"/>
  <c r="F9" i="7"/>
  <c r="A9" i="7"/>
  <c r="K8" i="7"/>
  <c r="K7" i="7"/>
  <c r="F7" i="7"/>
  <c r="F6" i="7"/>
  <c r="F10" i="4"/>
  <c r="E21" i="2"/>
  <c r="F21" i="2" s="1"/>
  <c r="F27" i="4"/>
  <c r="G27" i="4" s="1"/>
  <c r="C27" i="4"/>
  <c r="F26" i="4"/>
  <c r="G26" i="4" s="1"/>
  <c r="C26" i="4"/>
  <c r="F25" i="4"/>
  <c r="G25" i="4" s="1"/>
  <c r="C25" i="4"/>
  <c r="F24" i="4"/>
  <c r="G24" i="4" s="1"/>
  <c r="C24" i="4"/>
  <c r="F23" i="4"/>
  <c r="G23" i="4" s="1"/>
  <c r="C23" i="4"/>
  <c r="F22" i="4"/>
  <c r="H19" i="4"/>
  <c r="H18" i="4"/>
  <c r="H17" i="4"/>
  <c r="H16" i="4"/>
  <c r="H15" i="4"/>
  <c r="H14" i="4"/>
  <c r="E8" i="2"/>
  <c r="G12" i="2"/>
  <c r="G13" i="2"/>
  <c r="G14" i="2"/>
  <c r="G15" i="2"/>
  <c r="G16" i="2"/>
  <c r="G17" i="2"/>
  <c r="E20" i="2"/>
  <c r="B21" i="2"/>
  <c r="A5" i="1" s="1"/>
  <c r="B22" i="2"/>
  <c r="A6" i="1" s="1"/>
  <c r="E22" i="2"/>
  <c r="F22" i="2" s="1"/>
  <c r="B23" i="2"/>
  <c r="A7" i="1" s="1"/>
  <c r="E23" i="2"/>
  <c r="F23" i="2" s="1"/>
  <c r="B24" i="2"/>
  <c r="E24" i="2"/>
  <c r="F24" i="2"/>
  <c r="I24" i="2" s="1"/>
  <c r="B25" i="2"/>
  <c r="E25" i="2"/>
  <c r="F25" i="2" s="1"/>
  <c r="M4" i="1"/>
  <c r="N4" i="1" s="1"/>
  <c r="P4" i="1" s="1"/>
  <c r="A8" i="1"/>
  <c r="C8" i="1"/>
  <c r="H8" i="1" s="1"/>
  <c r="A9" i="1"/>
  <c r="C9" i="1" s="1"/>
  <c r="K9" i="7" l="1"/>
  <c r="F5" i="7"/>
  <c r="P4" i="7"/>
  <c r="C9" i="7"/>
  <c r="H9" i="7" s="1"/>
  <c r="C8" i="7"/>
  <c r="H8" i="7" s="1"/>
  <c r="D9" i="7"/>
  <c r="E9" i="7" s="1"/>
  <c r="D4" i="7"/>
  <c r="E4" i="7" s="1"/>
  <c r="C7" i="7"/>
  <c r="H7" i="7" s="1"/>
  <c r="D8" i="7"/>
  <c r="E8" i="7" s="1"/>
  <c r="C6" i="7"/>
  <c r="H6" i="7" s="1"/>
  <c r="D7" i="7"/>
  <c r="E7" i="7" s="1"/>
  <c r="C5" i="7"/>
  <c r="H5" i="7" s="1"/>
  <c r="D6" i="7"/>
  <c r="E6" i="7" s="1"/>
  <c r="D5" i="7"/>
  <c r="E5" i="7" s="1"/>
  <c r="D22" i="4"/>
  <c r="D23" i="4" s="1"/>
  <c r="J27" i="4"/>
  <c r="I27" i="4"/>
  <c r="H27" i="4"/>
  <c r="I23" i="4"/>
  <c r="J24" i="4"/>
  <c r="I24" i="4"/>
  <c r="H24" i="4"/>
  <c r="J25" i="4"/>
  <c r="I25" i="4"/>
  <c r="H25" i="4"/>
  <c r="J26" i="4"/>
  <c r="I26" i="4"/>
  <c r="H26" i="4"/>
  <c r="C5" i="1"/>
  <c r="H5" i="1" s="1"/>
  <c r="H21" i="2"/>
  <c r="H22" i="2"/>
  <c r="H23" i="2"/>
  <c r="I23" i="2"/>
  <c r="G23" i="2"/>
  <c r="G25" i="2"/>
  <c r="H25" i="2"/>
  <c r="I25" i="2"/>
  <c r="O4" i="1"/>
  <c r="C22" i="4" s="1"/>
  <c r="A4" i="7" s="1"/>
  <c r="C4" i="7" s="1"/>
  <c r="H4" i="7" s="1"/>
  <c r="C7" i="1"/>
  <c r="H7" i="1" s="1"/>
  <c r="H9" i="1"/>
  <c r="G9" i="1"/>
  <c r="C20" i="2"/>
  <c r="C6" i="1"/>
  <c r="H6" i="1" s="1"/>
  <c r="G8" i="1"/>
  <c r="G24" i="2"/>
  <c r="H24" i="2"/>
  <c r="H30" i="4" l="1"/>
  <c r="J29" i="4"/>
  <c r="H10" i="4"/>
  <c r="F4" i="7"/>
  <c r="G4" i="7"/>
  <c r="G8" i="7"/>
  <c r="G7" i="7"/>
  <c r="J5" i="7"/>
  <c r="I5" i="7"/>
  <c r="G9" i="7"/>
  <c r="J6" i="7"/>
  <c r="I6" i="7"/>
  <c r="I7" i="7"/>
  <c r="J7" i="7"/>
  <c r="J8" i="7"/>
  <c r="I8" i="7"/>
  <c r="J4" i="7"/>
  <c r="I4" i="7"/>
  <c r="G6" i="7"/>
  <c r="J9" i="7"/>
  <c r="I9" i="7"/>
  <c r="G5" i="7"/>
  <c r="K5" i="7" s="1"/>
  <c r="I32" i="4"/>
  <c r="D24" i="4"/>
  <c r="D25" i="4" s="1"/>
  <c r="G5" i="1"/>
  <c r="C8" i="2"/>
  <c r="G27" i="2" s="1"/>
  <c r="C21" i="2"/>
  <c r="B5" i="1" s="1"/>
  <c r="B4" i="1"/>
  <c r="G6" i="1"/>
  <c r="G7" i="1"/>
  <c r="K4" i="7" l="1"/>
  <c r="K6" i="7"/>
  <c r="H32" i="4"/>
  <c r="D26" i="4"/>
  <c r="D27" i="4" s="1"/>
  <c r="C22" i="2"/>
  <c r="B6" i="1" s="1"/>
  <c r="G30" i="2"/>
  <c r="H30" i="2"/>
  <c r="F5" i="1"/>
  <c r="D5" i="1"/>
  <c r="E5" i="1" s="1"/>
  <c r="D4" i="1"/>
  <c r="E4" i="1" s="1"/>
  <c r="B20" i="2"/>
  <c r="A4" i="1" s="1"/>
  <c r="G8" i="2"/>
  <c r="C23" i="2" l="1"/>
  <c r="B7" i="1" s="1"/>
  <c r="F7" i="1" s="1"/>
  <c r="D6" i="1"/>
  <c r="E6" i="1" s="1"/>
  <c r="J6" i="1" s="1"/>
  <c r="J5" i="1"/>
  <c r="I5" i="1"/>
  <c r="C4" i="1"/>
  <c r="J4" i="1"/>
  <c r="I4" i="1"/>
  <c r="F6" i="1" l="1"/>
  <c r="K5" i="1"/>
  <c r="J23" i="4"/>
  <c r="G21" i="2"/>
  <c r="I21" i="2" s="1"/>
  <c r="C24" i="2"/>
  <c r="B8" i="1" s="1"/>
  <c r="D8" i="1" s="1"/>
  <c r="E8" i="1" s="1"/>
  <c r="K7" i="1"/>
  <c r="D7" i="1"/>
  <c r="E7" i="1" s="1"/>
  <c r="J7" i="1" s="1"/>
  <c r="H4" i="1"/>
  <c r="F4" i="1"/>
  <c r="I6" i="1"/>
  <c r="K6" i="1" s="1"/>
  <c r="G22" i="2" s="1"/>
  <c r="I22" i="2" s="1"/>
  <c r="G4" i="1"/>
  <c r="K8" i="1" l="1"/>
  <c r="F8" i="1"/>
  <c r="C25" i="2"/>
  <c r="B9" i="1" s="1"/>
  <c r="D9" i="1" s="1"/>
  <c r="E9" i="1" s="1"/>
  <c r="I7" i="1"/>
  <c r="K4" i="1"/>
  <c r="J8" i="1"/>
  <c r="I8" i="1"/>
  <c r="F9" i="1" l="1"/>
  <c r="K9" i="1"/>
  <c r="G20" i="2"/>
  <c r="G28" i="2" s="1"/>
  <c r="J9" i="1"/>
  <c r="I9" i="1"/>
  <c r="I20" i="2" l="1"/>
  <c r="I27" i="2" s="1"/>
  <c r="I30" i="2" s="1"/>
  <c r="J22" i="4"/>
  <c r="J32" i="4" s="1"/>
</calcChain>
</file>

<file path=xl/sharedStrings.xml><?xml version="1.0" encoding="utf-8"?>
<sst xmlns="http://schemas.openxmlformats.org/spreadsheetml/2006/main" count="79" uniqueCount="42">
  <si>
    <t>from</t>
  </si>
  <si>
    <t>to</t>
  </si>
  <si>
    <t>end of month before "from"</t>
  </si>
  <si>
    <t>end of month after "to"</t>
  </si>
  <si>
    <t>beginning of month after "to"</t>
  </si>
  <si>
    <t>No. of months from beginning of "from" month to end of "to" month</t>
  </si>
  <si>
    <t>No. of days in "from" month before "from" date</t>
  </si>
  <si>
    <t>No. of days in "from" month</t>
  </si>
  <si>
    <t>No. of days in "to" month after "to" date</t>
  </si>
  <si>
    <t>No. of days in "to" month</t>
  </si>
  <si>
    <t>No. of months/part months in period</t>
  </si>
  <si>
    <t>DOL</t>
  </si>
  <si>
    <t>DOL-364</t>
  </si>
  <si>
    <t>Start date</t>
  </si>
  <si>
    <t>Leap Yr Adj</t>
  </si>
  <si>
    <t>CALCULATION OF FINAL PAY - MONTHLY PAID MEMBER</t>
  </si>
  <si>
    <t>Name:</t>
  </si>
  <si>
    <t>Payroll Reference:</t>
  </si>
  <si>
    <t>Date of Leaving:</t>
  </si>
  <si>
    <t>If not in employment at start of relevant period, start date</t>
  </si>
  <si>
    <t>Relevant Period:</t>
  </si>
  <si>
    <t>Rate of pay</t>
  </si>
  <si>
    <t>From</t>
  </si>
  <si>
    <t>£pa</t>
  </si>
  <si>
    <t>Additional Pay   £pa</t>
  </si>
  <si>
    <t>Total               £pa</t>
  </si>
  <si>
    <t>To</t>
  </si>
  <si>
    <t>£pm</t>
  </si>
  <si>
    <t>Months</t>
  </si>
  <si>
    <t>£</t>
  </si>
  <si>
    <t>x</t>
  </si>
  <si>
    <t>=</t>
  </si>
  <si>
    <t>Total months =</t>
  </si>
  <si>
    <t>J Bloggs</t>
  </si>
  <si>
    <t>123456-2</t>
  </si>
  <si>
    <t>&lt;&lt; Member's Name</t>
  </si>
  <si>
    <t>&lt;&lt; Pay reference</t>
  </si>
  <si>
    <t>&lt;&lt; This could be: the date of leaving, the day before the member's 65th birthday, or the date of the estimate request</t>
  </si>
  <si>
    <t>Final Pay period - End date</t>
  </si>
  <si>
    <r>
      <t xml:space="preserve">Final pay is the average of the full-time pensionable salary you received over the previous 365 days. If your final pay was higher in one of the two previous years, that higher amount can be used instead. This final pay figure is used for calculating benefits accrued before 1 April 2014, when the LGPS was a final salary scheme. It is also used to consider any protections which are relevant under the McCloud remedy.
</t>
    </r>
    <r>
      <rPr>
        <b/>
        <sz val="11"/>
        <rFont val="Arial"/>
        <family val="2"/>
      </rPr>
      <t>To use this calculator, please fill in the purple boxes on the 'Input and results' tab</t>
    </r>
    <r>
      <rPr>
        <sz val="11"/>
        <rFont val="Arial"/>
        <family val="2"/>
      </rPr>
      <t>. Below is an example with notes.</t>
    </r>
  </si>
  <si>
    <r>
      <t xml:space="preserve">&lt;&lt; Input the starting date </t>
    </r>
    <r>
      <rPr>
        <b/>
        <i/>
        <sz val="10"/>
        <rFont val="Arial"/>
        <family val="2"/>
      </rPr>
      <t>ONLY</t>
    </r>
    <r>
      <rPr>
        <i/>
        <sz val="10"/>
        <rFont val="Arial"/>
        <family val="2"/>
      </rPr>
      <t xml:space="preserve"> if the member has not been in the scheme/employment for a full year prior to the 'Date of Leaving'. Otherwise, leave blank.</t>
    </r>
  </si>
  <si>
    <r>
      <t xml:space="preserve">CALCULATION OF FINAL PAY - MONTHLY PAID MEMBER </t>
    </r>
    <r>
      <rPr>
        <b/>
        <sz val="10"/>
        <color rgb="FFFF0000"/>
        <rFont val="Arial"/>
        <family val="2"/>
      </rPr>
      <t>EXAMPLE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</si>
</sst>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00_ ;[Red]\-0.00000\ "/>
    <numFmt numFmtId="165" formatCode="0.00000"/>
    <numFmt numFmtId="166" formatCode="&quot;£&quot;#,##0.00"/>
  </numFmts>
  <fonts count="11" x14ac:knownFonts="1">
    <font>
      <sz val="10"/>
      <name val="Arial"/>
    </font>
    <font>
      <b/>
      <sz val="10"/>
      <name val="Arial"/>
      <family val="2"/>
    </font>
    <font>
      <u/>
      <sz val="10"/>
      <name val="Arial"/>
      <family val="2"/>
    </font>
    <font>
      <sz val="12"/>
      <name val="Arial"/>
      <family val="2"/>
    </font>
    <font>
      <sz val="10"/>
      <name val="Arial"/>
      <family val="2"/>
    </font>
    <font>
      <i/>
      <sz val="10"/>
      <name val="Arial"/>
      <family val="2"/>
    </font>
    <font>
      <b/>
      <sz val="10"/>
      <color rgb="FFFF0000"/>
      <name val="Arial"/>
      <family val="2"/>
    </font>
    <font>
      <sz val="11"/>
      <name val="Arial"/>
      <family val="2"/>
    </font>
    <font>
      <b/>
      <sz val="11"/>
      <name val="Arial"/>
      <family val="2"/>
    </font>
    <font>
      <sz val="10"/>
      <name val="Arial"/>
    </font>
    <font>
      <b/>
      <i/>
      <sz val="10"/>
      <name val="Arial"/>
      <family val="2"/>
    </font>
  </fonts>
  <fills count="4">
    <fill>
      <patternFill patternType="none"/>
    </fill>
    <fill>
      <patternFill patternType="gray125"/>
    </fill>
    <fill>
      <patternFill patternType="solid">
        <fgColor indexed="31"/>
        <bgColor indexed="64"/>
      </patternFill>
    </fill>
    <fill>
      <patternFill patternType="solid">
        <fgColor rgb="FFCCCCFF"/>
        <bgColor indexed="64"/>
      </patternFill>
    </fill>
  </fills>
  <borders count="11">
    <border>
      <left/>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9" fillId="0" borderId="0" applyFont="0" applyFill="0" applyBorder="0" applyAlignment="0" applyProtection="0"/>
  </cellStyleXfs>
  <cellXfs count="51">
    <xf numFmtId="0" fontId="0" fillId="0" borderId="0" xfId="0"/>
    <xf numFmtId="0" fontId="0" fillId="0" borderId="0" xfId="0" applyAlignment="1">
      <alignment wrapText="1"/>
    </xf>
    <xf numFmtId="14" fontId="0" fillId="0" borderId="0" xfId="0" applyNumberFormat="1"/>
    <xf numFmtId="0" fontId="0" fillId="0" borderId="0" xfId="0" applyAlignment="1">
      <alignment horizontal="center"/>
    </xf>
    <xf numFmtId="164" fontId="0" fillId="0" borderId="0" xfId="0" applyNumberFormat="1"/>
    <xf numFmtId="0" fontId="1" fillId="0" borderId="0" xfId="0" applyFont="1"/>
    <xf numFmtId="0" fontId="0" fillId="0" borderId="0" xfId="0" applyAlignment="1">
      <alignment horizontal="right"/>
    </xf>
    <xf numFmtId="0" fontId="2" fillId="0" borderId="0" xfId="0" applyFont="1" applyAlignment="1">
      <alignment horizontal="right"/>
    </xf>
    <xf numFmtId="8" fontId="0" fillId="0" borderId="0" xfId="0" applyNumberFormat="1"/>
    <xf numFmtId="165" fontId="0" fillId="0" borderId="0" xfId="0" applyNumberFormat="1"/>
    <xf numFmtId="8" fontId="0" fillId="0" borderId="1" xfId="0" applyNumberFormat="1" applyBorder="1"/>
    <xf numFmtId="14" fontId="0" fillId="2" borderId="0" xfId="0" applyNumberFormat="1" applyFill="1" applyProtection="1">
      <protection locked="0"/>
    </xf>
    <xf numFmtId="8" fontId="0" fillId="2" borderId="0" xfId="0" applyNumberFormat="1" applyFill="1" applyProtection="1">
      <protection locked="0"/>
    </xf>
    <xf numFmtId="14" fontId="0" fillId="0" borderId="0" xfId="0" applyNumberFormat="1" applyFill="1"/>
    <xf numFmtId="0" fontId="0" fillId="0" borderId="0" xfId="0" applyFill="1"/>
    <xf numFmtId="0" fontId="0" fillId="0" borderId="0" xfId="0" applyAlignment="1">
      <alignment horizontal="center" wrapText="1"/>
    </xf>
    <xf numFmtId="4" fontId="0" fillId="2" borderId="0" xfId="0" applyNumberFormat="1" applyFill="1" applyProtection="1">
      <protection locked="0"/>
    </xf>
    <xf numFmtId="166" fontId="0" fillId="2" borderId="0" xfId="0" applyNumberFormat="1" applyFill="1" applyProtection="1">
      <protection locked="0"/>
    </xf>
    <xf numFmtId="0" fontId="0" fillId="2" borderId="0" xfId="0" applyFill="1" applyAlignment="1" applyProtection="1">
      <alignment horizontal="right"/>
      <protection locked="0"/>
    </xf>
    <xf numFmtId="0" fontId="0" fillId="0" borderId="0" xfId="0" applyAlignment="1">
      <alignment horizontal="right" wrapText="1"/>
    </xf>
    <xf numFmtId="166" fontId="0" fillId="0" borderId="0" xfId="0" applyNumberFormat="1"/>
    <xf numFmtId="0" fontId="3" fillId="0" borderId="0" xfId="0" applyFont="1"/>
    <xf numFmtId="0" fontId="4" fillId="2" borderId="0" xfId="0" applyFont="1" applyFill="1" applyProtection="1">
      <protection locked="0"/>
    </xf>
    <xf numFmtId="14" fontId="0" fillId="3" borderId="0" xfId="0" applyNumberFormat="1" applyFill="1" applyAlignment="1" applyProtection="1">
      <alignment horizontal="left"/>
      <protection locked="0"/>
    </xf>
    <xf numFmtId="14" fontId="4" fillId="3" borderId="0" xfId="0" applyNumberFormat="1" applyFont="1" applyFill="1" applyAlignment="1" applyProtection="1">
      <alignment horizontal="left" vertical="center"/>
      <protection locked="0"/>
    </xf>
    <xf numFmtId="14" fontId="0" fillId="0" borderId="0" xfId="0" applyNumberFormat="1" applyProtection="1">
      <protection hidden="1"/>
    </xf>
    <xf numFmtId="0" fontId="0" fillId="0" borderId="0" xfId="0" applyProtection="1">
      <protection hidden="1"/>
    </xf>
    <xf numFmtId="8" fontId="0" fillId="0" borderId="0" xfId="0" applyNumberFormat="1" applyProtection="1">
      <protection hidden="1"/>
    </xf>
    <xf numFmtId="0" fontId="0" fillId="0" borderId="0" xfId="0" applyAlignment="1" applyProtection="1">
      <alignment horizontal="center"/>
      <protection hidden="1"/>
    </xf>
    <xf numFmtId="165" fontId="0" fillId="0" borderId="0" xfId="0" applyNumberFormat="1" applyProtection="1">
      <protection hidden="1"/>
    </xf>
    <xf numFmtId="0" fontId="1" fillId="0" borderId="0" xfId="0" applyFont="1" applyProtection="1">
      <protection hidden="1"/>
    </xf>
    <xf numFmtId="0" fontId="0" fillId="0" borderId="0" xfId="0" applyAlignment="1" applyProtection="1">
      <alignment horizontal="right"/>
      <protection hidden="1"/>
    </xf>
    <xf numFmtId="0" fontId="0" fillId="0" borderId="0" xfId="0" applyAlignment="1" applyProtection="1">
      <alignment horizontal="right" wrapText="1"/>
      <protection hidden="1"/>
    </xf>
    <xf numFmtId="0" fontId="2" fillId="0" borderId="0" xfId="0" applyFont="1" applyAlignment="1" applyProtection="1">
      <alignment horizontal="center"/>
      <protection hidden="1"/>
    </xf>
    <xf numFmtId="0" fontId="0" fillId="0" borderId="0" xfId="0" applyAlignment="1" applyProtection="1">
      <alignment horizontal="center" wrapText="1"/>
      <protection hidden="1"/>
    </xf>
    <xf numFmtId="8" fontId="0" fillId="0" borderId="1" xfId="0" applyNumberFormat="1" applyBorder="1" applyProtection="1">
      <protection hidden="1"/>
    </xf>
    <xf numFmtId="166" fontId="4" fillId="0" borderId="0" xfId="0" applyNumberFormat="1" applyFont="1" applyProtection="1">
      <protection hidden="1"/>
    </xf>
    <xf numFmtId="9" fontId="0" fillId="0" borderId="0" xfId="1" applyFont="1" applyProtection="1">
      <protection hidden="1"/>
    </xf>
    <xf numFmtId="0" fontId="6" fillId="0" borderId="0" xfId="0" applyFont="1" applyBorder="1" applyAlignment="1" applyProtection="1">
      <alignment horizontal="center"/>
      <protection hidden="1"/>
    </xf>
    <xf numFmtId="0" fontId="7" fillId="0" borderId="8" xfId="0" applyFont="1" applyBorder="1" applyAlignment="1" applyProtection="1">
      <alignment horizontal="left" vertical="center" wrapText="1"/>
      <protection hidden="1"/>
    </xf>
    <xf numFmtId="0" fontId="7" fillId="0" borderId="9"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5" fillId="0" borderId="2" xfId="0" applyFont="1" applyBorder="1" applyAlignment="1" applyProtection="1">
      <alignment horizontal="left"/>
      <protection hidden="1"/>
    </xf>
    <xf numFmtId="0" fontId="5" fillId="0" borderId="3" xfId="0" applyFont="1" applyBorder="1" applyAlignment="1" applyProtection="1">
      <alignment horizontal="left"/>
      <protection hidden="1"/>
    </xf>
    <xf numFmtId="0" fontId="5" fillId="0" borderId="4" xfId="0" applyFont="1" applyBorder="1" applyAlignment="1" applyProtection="1">
      <alignment horizontal="left"/>
      <protection hidden="1"/>
    </xf>
    <xf numFmtId="0" fontId="5" fillId="0" borderId="6" xfId="0" applyFont="1" applyBorder="1" applyAlignment="1" applyProtection="1">
      <alignment horizontal="left"/>
      <protection hidden="1"/>
    </xf>
    <xf numFmtId="0" fontId="5" fillId="0" borderId="5" xfId="0" applyFont="1" applyBorder="1" applyAlignment="1" applyProtection="1">
      <alignment horizontal="left"/>
      <protection hidden="1"/>
    </xf>
    <xf numFmtId="0" fontId="5" fillId="0" borderId="7" xfId="0" applyFont="1" applyBorder="1" applyAlignment="1" applyProtection="1">
      <alignment horizontal="left"/>
      <protection hidden="1"/>
    </xf>
    <xf numFmtId="0" fontId="5" fillId="0" borderId="2" xfId="0" applyFont="1" applyBorder="1" applyAlignment="1" applyProtection="1">
      <alignment horizontal="left" vertical="center"/>
      <protection hidden="1"/>
    </xf>
    <xf numFmtId="0" fontId="5" fillId="0" borderId="3" xfId="0" applyFont="1" applyBorder="1" applyAlignment="1" applyProtection="1">
      <alignment horizontal="left" vertical="center"/>
      <protection hidden="1"/>
    </xf>
    <xf numFmtId="0" fontId="5" fillId="0" borderId="4" xfId="0" applyFont="1" applyBorder="1" applyAlignment="1" applyProtection="1">
      <alignment horizontal="left" vertical="center"/>
      <protection hidden="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552450</xdr:colOff>
      <xdr:row>8</xdr:row>
      <xdr:rowOff>85725</xdr:rowOff>
    </xdr:from>
    <xdr:to>
      <xdr:col>20</xdr:col>
      <xdr:colOff>581025</xdr:colOff>
      <xdr:row>20</xdr:row>
      <xdr:rowOff>0</xdr:rowOff>
    </xdr:to>
    <xdr:sp macro="" textlink="">
      <xdr:nvSpPr>
        <xdr:cNvPr id="2" name="TextBox 1">
          <a:extLst>
            <a:ext uri="{FF2B5EF4-FFF2-40B4-BE49-F238E27FC236}">
              <a16:creationId xmlns:a16="http://schemas.microsoft.com/office/drawing/2014/main" id="{E7B01CA7-5B0D-B399-6C5D-1D1A50E70C7B}"/>
            </a:ext>
          </a:extLst>
        </xdr:cNvPr>
        <xdr:cNvSpPr txBox="1"/>
      </xdr:nvSpPr>
      <xdr:spPr>
        <a:xfrm>
          <a:off x="7105650" y="2762250"/>
          <a:ext cx="7410450" cy="2019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1"/>
            <a:t>INPUTS</a:t>
          </a:r>
          <a:br>
            <a:rPr lang="en-GB" sz="1100" b="1" i="1"/>
          </a:br>
          <a:r>
            <a:rPr lang="en-GB" sz="1100" b="1" i="1"/>
            <a:t>From: </a:t>
          </a:r>
          <a:r>
            <a:rPr lang="en-GB" sz="1100" i="1"/>
            <a:t>Input dates of any changes in salary across the final pay period. Earlier dates at</a:t>
          </a:r>
          <a:r>
            <a:rPr lang="en-GB" sz="1100" i="1" baseline="0"/>
            <a:t> the top. </a:t>
          </a:r>
          <a:br>
            <a:rPr lang="en-GB" sz="1100" i="1"/>
          </a:br>
          <a:r>
            <a:rPr lang="en-GB" sz="1100" b="1" i="1"/>
            <a:t>£pa</a:t>
          </a:r>
          <a:r>
            <a:rPr lang="en-GB" sz="1100" b="1" i="1" baseline="0"/>
            <a:t>: </a:t>
          </a:r>
          <a:r>
            <a:rPr lang="en-GB" sz="1100" b="0" i="1" baseline="0"/>
            <a:t>This is the basic salary as a full time, annual amount. </a:t>
          </a:r>
          <a:br>
            <a:rPr lang="en-GB" sz="1100" b="0" i="1" baseline="0"/>
          </a:br>
          <a:r>
            <a:rPr lang="en-GB" sz="1100" b="1" i="1" baseline="0"/>
            <a:t>Additional Pay £pa: </a:t>
          </a:r>
          <a:r>
            <a:rPr lang="en-GB" sz="1100" i="1">
              <a:solidFill>
                <a:schemeClr val="dk1"/>
              </a:solidFill>
              <a:effectLst/>
              <a:latin typeface="+mn-lt"/>
              <a:ea typeface="+mn-ea"/>
              <a:cs typeface="+mn-cs"/>
            </a:rPr>
            <a:t>Such as shift allowances, bonuses, and other regular payments.</a:t>
          </a:r>
          <a:r>
            <a:rPr lang="en-GB" sz="1100" i="1" baseline="0">
              <a:solidFill>
                <a:schemeClr val="dk1"/>
              </a:solidFill>
              <a:effectLst/>
              <a:latin typeface="+mn-lt"/>
              <a:ea typeface="+mn-ea"/>
              <a:cs typeface="+mn-cs"/>
            </a:rPr>
            <a:t> </a:t>
          </a:r>
          <a:r>
            <a:rPr lang="en-GB" sz="1100" i="1" u="sng" baseline="0">
              <a:solidFill>
                <a:schemeClr val="dk1"/>
              </a:solidFill>
              <a:effectLst/>
              <a:latin typeface="+mn-lt"/>
              <a:ea typeface="+mn-ea"/>
              <a:cs typeface="+mn-cs"/>
            </a:rPr>
            <a:t>N</a:t>
          </a:r>
          <a:r>
            <a:rPr lang="en-GB" sz="1100" i="1" u="sng">
              <a:solidFill>
                <a:schemeClr val="dk1"/>
              </a:solidFill>
              <a:effectLst/>
              <a:latin typeface="+mn-lt"/>
              <a:ea typeface="+mn-ea"/>
              <a:cs typeface="+mn-cs"/>
            </a:rPr>
            <a:t>on-contractual</a:t>
          </a:r>
          <a:r>
            <a:rPr lang="en-GB" sz="1100" i="1">
              <a:solidFill>
                <a:schemeClr val="dk1"/>
              </a:solidFill>
              <a:effectLst/>
              <a:latin typeface="+mn-lt"/>
              <a:ea typeface="+mn-ea"/>
              <a:cs typeface="+mn-cs"/>
            </a:rPr>
            <a:t> overtime and certain allowances like travel or subsistence are </a:t>
          </a:r>
          <a:r>
            <a:rPr lang="en-GB" sz="1100" b="1" i="1">
              <a:solidFill>
                <a:schemeClr val="dk1"/>
              </a:solidFill>
              <a:effectLst/>
              <a:latin typeface="+mn-lt"/>
              <a:ea typeface="+mn-ea"/>
              <a:cs typeface="+mn-cs"/>
            </a:rPr>
            <a:t>not</a:t>
          </a:r>
          <a:r>
            <a:rPr lang="en-GB" sz="1100" i="1">
              <a:solidFill>
                <a:schemeClr val="dk1"/>
              </a:solidFill>
              <a:effectLst/>
              <a:latin typeface="+mn-lt"/>
              <a:ea typeface="+mn-ea"/>
              <a:cs typeface="+mn-cs"/>
            </a:rPr>
            <a:t> included in the Final</a:t>
          </a:r>
          <a:r>
            <a:rPr lang="en-GB" sz="1100" i="1" baseline="0">
              <a:solidFill>
                <a:schemeClr val="dk1"/>
              </a:solidFill>
              <a:effectLst/>
              <a:latin typeface="+mn-lt"/>
              <a:ea typeface="+mn-ea"/>
              <a:cs typeface="+mn-cs"/>
            </a:rPr>
            <a:t> Pay. Include the amount as an annual/full time amount on each row, so the calculator adds it on in full. </a:t>
          </a:r>
          <a:br>
            <a:rPr lang="en-GB" sz="1100" i="1" baseline="0">
              <a:solidFill>
                <a:schemeClr val="dk1"/>
              </a:solidFill>
              <a:effectLst/>
              <a:latin typeface="+mn-lt"/>
              <a:ea typeface="+mn-ea"/>
              <a:cs typeface="+mn-cs"/>
            </a:rPr>
          </a:br>
          <a:br>
            <a:rPr lang="en-GB" sz="1100" i="1" baseline="0">
              <a:solidFill>
                <a:schemeClr val="dk1"/>
              </a:solidFill>
              <a:effectLst/>
              <a:latin typeface="+mn-lt"/>
              <a:ea typeface="+mn-ea"/>
              <a:cs typeface="+mn-cs"/>
            </a:rPr>
          </a:br>
          <a:r>
            <a:rPr lang="en-GB" sz="1100" b="1" i="1" baseline="0">
              <a:solidFill>
                <a:schemeClr val="dk1"/>
              </a:solidFill>
              <a:effectLst/>
              <a:latin typeface="+mn-lt"/>
              <a:ea typeface="+mn-ea"/>
              <a:cs typeface="+mn-cs"/>
            </a:rPr>
            <a:t>In our example, the member's full time salary is £28,725 at the start of the final pay period. Their pay increased to £29,725 from 01/09/2023. They have a 16% shift allowance on top of their pay, which increased in line with the salary increment.</a:t>
          </a:r>
          <a:br>
            <a:rPr lang="en-GB" sz="1100" b="1" i="1" baseline="0">
              <a:solidFill>
                <a:schemeClr val="dk1"/>
              </a:solidFill>
              <a:effectLst/>
              <a:latin typeface="+mn-lt"/>
              <a:ea typeface="+mn-ea"/>
              <a:cs typeface="+mn-cs"/>
            </a:rPr>
          </a:br>
          <a:br>
            <a:rPr lang="en-GB" sz="1100" b="1" i="1" baseline="0">
              <a:solidFill>
                <a:schemeClr val="dk1"/>
              </a:solidFill>
              <a:effectLst/>
              <a:latin typeface="+mn-lt"/>
              <a:ea typeface="+mn-ea"/>
              <a:cs typeface="+mn-cs"/>
            </a:rPr>
          </a:br>
          <a:r>
            <a:rPr lang="en-GB" sz="1100" b="0" i="1" baseline="0">
              <a:solidFill>
                <a:schemeClr val="dk1"/>
              </a:solidFill>
              <a:effectLst/>
              <a:latin typeface="+mn-lt"/>
              <a:ea typeface="+mn-ea"/>
              <a:cs typeface="+mn-cs"/>
            </a:rPr>
            <a:t>Many staff may not have additional elements for consideration, so the Additional Pay column can be left blank. </a:t>
          </a:r>
          <a:endParaRPr lang="en-GB" sz="1100" b="0" i="1"/>
        </a:p>
      </xdr:txBody>
    </xdr:sp>
    <xdr:clientData/>
  </xdr:twoCellAnchor>
  <xdr:twoCellAnchor>
    <xdr:from>
      <xdr:col>2</xdr:col>
      <xdr:colOff>1133475</xdr:colOff>
      <xdr:row>10</xdr:row>
      <xdr:rowOff>52386</xdr:rowOff>
    </xdr:from>
    <xdr:to>
      <xdr:col>8</xdr:col>
      <xdr:colOff>542929</xdr:colOff>
      <xdr:row>12</xdr:row>
      <xdr:rowOff>285750</xdr:rowOff>
    </xdr:to>
    <xdr:cxnSp macro="">
      <xdr:nvCxnSpPr>
        <xdr:cNvPr id="10" name="Connector: Curved 9">
          <a:extLst>
            <a:ext uri="{FF2B5EF4-FFF2-40B4-BE49-F238E27FC236}">
              <a16:creationId xmlns:a16="http://schemas.microsoft.com/office/drawing/2014/main" id="{CC3B0EEC-2292-4E3D-D11C-63DB9960A008}"/>
            </a:ext>
          </a:extLst>
        </xdr:cNvPr>
        <xdr:cNvCxnSpPr/>
      </xdr:nvCxnSpPr>
      <xdr:spPr>
        <a:xfrm rot="10800000" flipV="1">
          <a:off x="1781175" y="3052761"/>
          <a:ext cx="5314954" cy="557214"/>
        </a:xfrm>
        <a:prstGeom prst="curvedConnector3">
          <a:avLst>
            <a:gd name="adj1" fmla="val 10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276225</xdr:colOff>
      <xdr:row>23</xdr:row>
      <xdr:rowOff>47625</xdr:rowOff>
    </xdr:from>
    <xdr:to>
      <xdr:col>18</xdr:col>
      <xdr:colOff>257175</xdr:colOff>
      <xdr:row>33</xdr:row>
      <xdr:rowOff>114300</xdr:rowOff>
    </xdr:to>
    <xdr:sp macro="" textlink="">
      <xdr:nvSpPr>
        <xdr:cNvPr id="15" name="TextBox 14">
          <a:extLst>
            <a:ext uri="{FF2B5EF4-FFF2-40B4-BE49-F238E27FC236}">
              <a16:creationId xmlns:a16="http://schemas.microsoft.com/office/drawing/2014/main" id="{8BDD21D4-985F-46FB-9123-F9D249C4A7D1}"/>
            </a:ext>
          </a:extLst>
        </xdr:cNvPr>
        <xdr:cNvSpPr txBox="1"/>
      </xdr:nvSpPr>
      <xdr:spPr>
        <a:xfrm>
          <a:off x="8086725" y="3771900"/>
          <a:ext cx="4857750" cy="1704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Ensure</a:t>
          </a:r>
          <a:r>
            <a:rPr lang="en-GB" sz="1100" b="0" i="1" baseline="0"/>
            <a:t> that the calculator has used the relevant period for calculation. </a:t>
          </a:r>
          <a:br>
            <a:rPr lang="en-GB" sz="1100" b="0" i="1" baseline="0"/>
          </a:br>
          <a:br>
            <a:rPr lang="en-GB" sz="1100" b="0" i="1" baseline="0"/>
          </a:br>
          <a:r>
            <a:rPr lang="en-GB" sz="1100" b="0" i="1" baseline="0"/>
            <a:t>I.e. 12 months or adjusted if the start date has been entered (where the member has not worked for 12 months)</a:t>
          </a:r>
          <a:br>
            <a:rPr lang="en-GB" sz="1100" b="0" i="1" baseline="0"/>
          </a:br>
          <a:br>
            <a:rPr lang="en-GB" sz="1100" b="0" i="1" baseline="0"/>
          </a:br>
          <a:r>
            <a:rPr lang="en-GB" sz="1100" b="0" i="1" baseline="0"/>
            <a:t>The Final Pay figure is given in cell "I32"</a:t>
          </a:r>
          <a:endParaRPr lang="en-GB" sz="1100" b="0" i="1"/>
        </a:p>
      </xdr:txBody>
    </xdr:sp>
    <xdr:clientData/>
  </xdr:twoCellAnchor>
  <xdr:twoCellAnchor>
    <xdr:from>
      <xdr:col>7</xdr:col>
      <xdr:colOff>428627</xdr:colOff>
      <xdr:row>24</xdr:row>
      <xdr:rowOff>76200</xdr:rowOff>
    </xdr:from>
    <xdr:to>
      <xdr:col>10</xdr:col>
      <xdr:colOff>266700</xdr:colOff>
      <xdr:row>27</xdr:row>
      <xdr:rowOff>100009</xdr:rowOff>
    </xdr:to>
    <xdr:cxnSp macro="">
      <xdr:nvCxnSpPr>
        <xdr:cNvPr id="16" name="Connector: Curved 15">
          <a:extLst>
            <a:ext uri="{FF2B5EF4-FFF2-40B4-BE49-F238E27FC236}">
              <a16:creationId xmlns:a16="http://schemas.microsoft.com/office/drawing/2014/main" id="{E34B8657-2D2E-44FA-9672-AE66FDDD662D}"/>
            </a:ext>
          </a:extLst>
        </xdr:cNvPr>
        <xdr:cNvCxnSpPr/>
      </xdr:nvCxnSpPr>
      <xdr:spPr>
        <a:xfrm rot="10800000" flipV="1">
          <a:off x="6057902" y="3962400"/>
          <a:ext cx="2019298" cy="509584"/>
        </a:xfrm>
        <a:prstGeom prst="curvedConnector3">
          <a:avLst>
            <a:gd name="adj1" fmla="val 10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800101</xdr:colOff>
      <xdr:row>10</xdr:row>
      <xdr:rowOff>28566</xdr:rowOff>
    </xdr:from>
    <xdr:to>
      <xdr:col>8</xdr:col>
      <xdr:colOff>542930</xdr:colOff>
      <xdr:row>12</xdr:row>
      <xdr:rowOff>247649</xdr:rowOff>
    </xdr:to>
    <xdr:cxnSp macro="">
      <xdr:nvCxnSpPr>
        <xdr:cNvPr id="38" name="Connector: Curved 37">
          <a:extLst>
            <a:ext uri="{FF2B5EF4-FFF2-40B4-BE49-F238E27FC236}">
              <a16:creationId xmlns:a16="http://schemas.microsoft.com/office/drawing/2014/main" id="{8597E28F-C5BC-4FB3-BFA8-02D0639756FE}"/>
            </a:ext>
          </a:extLst>
        </xdr:cNvPr>
        <xdr:cNvCxnSpPr/>
      </xdr:nvCxnSpPr>
      <xdr:spPr>
        <a:xfrm rot="10800000" flipV="1">
          <a:off x="3105151" y="3028941"/>
          <a:ext cx="3990979" cy="542933"/>
        </a:xfrm>
        <a:prstGeom prst="curvedConnector3">
          <a:avLst>
            <a:gd name="adj1" fmla="val 9988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409578</xdr:colOff>
      <xdr:row>10</xdr:row>
      <xdr:rowOff>57150</xdr:rowOff>
    </xdr:from>
    <xdr:to>
      <xdr:col>8</xdr:col>
      <xdr:colOff>523876</xdr:colOff>
      <xdr:row>12</xdr:row>
      <xdr:rowOff>57148</xdr:rowOff>
    </xdr:to>
    <xdr:cxnSp macro="">
      <xdr:nvCxnSpPr>
        <xdr:cNvPr id="56" name="Connector: Curved 55">
          <a:extLst>
            <a:ext uri="{FF2B5EF4-FFF2-40B4-BE49-F238E27FC236}">
              <a16:creationId xmlns:a16="http://schemas.microsoft.com/office/drawing/2014/main" id="{653C6F6B-CACB-46F4-822F-60FF35493C53}"/>
            </a:ext>
          </a:extLst>
        </xdr:cNvPr>
        <xdr:cNvCxnSpPr/>
      </xdr:nvCxnSpPr>
      <xdr:spPr>
        <a:xfrm rot="10800000" flipV="1">
          <a:off x="4552953" y="3057525"/>
          <a:ext cx="2524123" cy="323848"/>
        </a:xfrm>
        <a:prstGeom prst="curvedConnector3">
          <a:avLst>
            <a:gd name="adj1" fmla="val 9981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5"/>
  <sheetViews>
    <sheetView zoomScale="75" workbookViewId="0">
      <selection activeCell="O4" sqref="O4"/>
    </sheetView>
  </sheetViews>
  <sheetFormatPr defaultRowHeight="12.75" x14ac:dyDescent="0.2"/>
  <cols>
    <col min="1" max="1" width="11.28515625" customWidth="1"/>
    <col min="2" max="2" width="10.5703125" customWidth="1"/>
    <col min="3" max="3" width="11.85546875" customWidth="1"/>
    <col min="4" max="4" width="12.85546875" customWidth="1"/>
    <col min="5" max="5" width="13.7109375" customWidth="1"/>
    <col min="6" max="6" width="18.85546875" customWidth="1"/>
    <col min="7" max="7" width="8.7109375" customWidth="1"/>
    <col min="11" max="11" width="14.42578125" customWidth="1"/>
    <col min="13" max="13" width="13.7109375" customWidth="1"/>
    <col min="14" max="14" width="15.42578125" customWidth="1"/>
    <col min="15" max="15" width="14.42578125" customWidth="1"/>
    <col min="16" max="16" width="10.85546875" customWidth="1"/>
  </cols>
  <sheetData>
    <row r="3" spans="1:16" ht="95.25" customHeight="1" x14ac:dyDescent="0.2">
      <c r="A3" t="s">
        <v>0</v>
      </c>
      <c r="B3" t="s">
        <v>1</v>
      </c>
      <c r="C3" s="1" t="s">
        <v>2</v>
      </c>
      <c r="D3" s="1" t="s">
        <v>3</v>
      </c>
      <c r="E3" s="1" t="s">
        <v>4</v>
      </c>
      <c r="F3" s="1" t="s">
        <v>5</v>
      </c>
      <c r="G3" s="1" t="s">
        <v>6</v>
      </c>
      <c r="H3" s="1" t="s">
        <v>7</v>
      </c>
      <c r="I3" s="1" t="s">
        <v>8</v>
      </c>
      <c r="J3" s="1" t="s">
        <v>9</v>
      </c>
      <c r="K3" s="1" t="s">
        <v>10</v>
      </c>
      <c r="M3" t="s">
        <v>11</v>
      </c>
      <c r="N3" t="s">
        <v>12</v>
      </c>
      <c r="O3" t="s">
        <v>13</v>
      </c>
      <c r="P3" t="s">
        <v>14</v>
      </c>
    </row>
    <row r="4" spans="1:16" ht="15" x14ac:dyDescent="0.2">
      <c r="A4" s="2">
        <f>'Input &amp; Results'!B20</f>
        <v>0</v>
      </c>
      <c r="B4" s="2">
        <f>'Input &amp; Results'!C20</f>
        <v>0</v>
      </c>
      <c r="C4" s="2" t="e">
        <f t="shared" ref="C4:C9" si="0">EOMONTH(A4, -1)</f>
        <v>#NUM!</v>
      </c>
      <c r="D4" s="2">
        <f t="shared" ref="D4:D9" si="1">EOMONTH(B4, 1)</f>
        <v>59</v>
      </c>
      <c r="E4" s="2">
        <f t="shared" ref="E4:E9" si="2">(EOMONTH(D4, -1))+1</f>
        <v>32</v>
      </c>
      <c r="F4" s="3" t="str">
        <f t="shared" ref="F4:F9" si="3">IF(AND(MONTH(B4)=MONTH(A4), YEAR(B4)=YEAR(A4)),"1",IF(YEAR(B4)=YEAR(A4),(((MONTH(B4))+1)-(MONTH(A4))),(((YEAR(B4)-YEAR(A4))*12)+(IF(MONTH(A4)=1,12,0))+(((MONTH((E4)-1)))-(MONTH(C4))))))</f>
        <v>1</v>
      </c>
      <c r="G4" s="3" t="e">
        <f t="shared" ref="G4:G9" si="4">A4-C4-1</f>
        <v>#NUM!</v>
      </c>
      <c r="H4" t="e">
        <f t="shared" ref="H4:H9" si="5">DAY(EOMONTH(C4,1))</f>
        <v>#NUM!</v>
      </c>
      <c r="I4">
        <f t="shared" ref="I4:I9" si="6">E4-B4-1</f>
        <v>31</v>
      </c>
      <c r="J4">
        <f t="shared" ref="J4:J9" si="7">DAY(E4-1)</f>
        <v>31</v>
      </c>
      <c r="K4" s="4">
        <f t="shared" ref="K4:K9" si="8">IF(A4+B4&lt;&gt;0, F4-((G4/H4)+(I4/J4)), 0)</f>
        <v>0</v>
      </c>
      <c r="M4" s="13">
        <f>'Input &amp; Results'!C5</f>
        <v>0</v>
      </c>
      <c r="N4" s="13">
        <f>M4-364</f>
        <v>-364</v>
      </c>
      <c r="O4" s="13">
        <f>N4+P4</f>
        <v>-364</v>
      </c>
      <c r="P4" s="21">
        <f>IF(AND(DATEVALUE("29/2/2096")&gt;(N4-1),(DATEVALUE("29/2/2096")&lt;=(M4))),-1,IF(AND(DATEVALUE("29/2/2092")&gt;(N4-1),(DATEVALUE("29/2/2092")&lt;=(M4))),-1,IF(AND(DATEVALUE("29/2/2088")&gt;(N4-1),(DATEVALUE("29/2/2088")&lt;=(M4))),-1,IF(AND(DATEVALUE("29/2/2084")&gt;(N4-1),(DATEVALUE("29/2/2084")&lt;=(M4))),-1,IF(AND(DATEVALUE("29/2/2080")&gt;(N4-1),(DATEVALUE("29/2/2080")&lt;=(M4))),-1,IF(AND(DATEVALUE("29/2/2076")&gt;(N4-1),(DATEVALUE("29/2/2076")&lt;=(M4))),-1,IF(AND(DATEVALUE("29/2/2072")&gt;(N4-1),(DATEVALUE("29/2/2072")&lt;=(M4))),-1,IF(AND(DATEVALUE("29/2/2068")&gt;(N4-1),(DATEVALUE("29/2/2068")&lt;=(M4))),-1,IF(AND(DATEVALUE("29/2/2064")&gt;(N4-1),(DATEVALUE("29/2/2064")&lt;=(M4))),-1,IF(AND(DATEVALUE("29/2/2060")&gt;(N4-1),(DATEVALUE("29/2/2060")&lt;=(M4))),-1,IF(AND(DATEVALUE("29/2/2056")&gt;(N4-1),(DATEVALUE("29/2/2056")&lt;=(M4))),-1,IF(AND(DATEVALUE("29/2/2052")&gt;(N4-1),(DATEVALUE("29/2/2052")&lt;=(M4))),-1,IF(AND(DATEVALUE("29/2/2048")&gt;(N4-1),(DATEVALUE("29/2/2048")&lt;=(M4))),-1,IF(AND(DATEVALUE("29/2/2044")&gt;(N4-1),(DATEVALUE("29/2/2044")&lt;=(M4))),-1,IF(AND(DATEVALUE("29/2/2040")&gt;(N4-1),(DATEVALUE("29/2/2040")&lt;=(M4))),-1,IF(AND(DATEVALUE("29/2/2036")&gt;(N4-1),(DATEVALUE("29/2/2036")&lt;=(M4))),-1,IF(AND(DATEVALUE("29/2/2032")&gt;(N4-1),(DATEVALUE("29/2/2032")&lt;=(M4))),-1,IF(AND(DATEVALUE("29/2/2028")&gt;(N4-1),(DATEVALUE("29/2/2028")&lt;=(M4))),-1,IF(AND(DATEVALUE("29/2/2024")&gt;(N4-1),(DATEVALUE("29/2/2024")&lt;=(M4))),-1,IF(AND(DATEVALUE("29/2/2020")&gt;(N4-1),(DATEVALUE("29/2/2020")&lt;=(M4))),-1,IF(AND(DATEVALUE("29/2/2016")&gt;(N4-1),(DATEVALUE("29/2/2016")&lt;=(M4))),-1,IF(AND(DATEVALUE("29/2/2012")&gt;(N4-1),(DATEVALUE("29/2/2012")&lt;=(M4))),-1,IF(AND(DATEVALUE("29/2/2008")&gt;(N4-1),(DATEVALUE("29/2/2008")&lt;=(M4))),-1,IF(AND(DATEVALUE("29/2/2004")&gt;(N4-1),(DATEVALUE("29/2/2004")&lt;=(M4))),-1,IF(AND(DATEVALUE("29/2/2000")&gt;(N4-1),(DATEVALUE("29/2/2000")&lt;=(M4))),-1,IF(AND(DATEVALUE("29/2/1996")&gt;(N4-1),(DATEVALUE("29/2/1996")&lt;=(M4))),-1,IF(AND(DATEVALUE("29/2/1992")&gt;(N4-1),(DATEVALUE("29/2/1992")&lt;=(M4))),-1,IF(AND(DATEVALUE("29/2/1988")&gt;(N4-1),(DATEVALUE("29/2/1988")&lt;=(M4))),-1,IF(AND(DATEVALUE("29/2/1984")&gt;(N4-1),(DATEVALUE("29/2/1984")&lt;=(M4))),-1,IF(AND(DATEVALUE("29/2/1980")&gt;(N4-1),(DATEVALUE("29/2/1980")&lt;=(M4))),-1,0))))))))))))))))))))))))))))))</f>
        <v>0</v>
      </c>
    </row>
    <row r="5" spans="1:16" x14ac:dyDescent="0.2">
      <c r="A5" s="2" t="str">
        <f>'Input &amp; Results'!B21</f>
        <v xml:space="preserve"> </v>
      </c>
      <c r="B5" s="2" t="str">
        <f>'Input &amp; Results'!C21</f>
        <v xml:space="preserve"> </v>
      </c>
      <c r="C5" s="2" t="e">
        <f t="shared" si="0"/>
        <v>#VALUE!</v>
      </c>
      <c r="D5" s="2" t="e">
        <f t="shared" si="1"/>
        <v>#VALUE!</v>
      </c>
      <c r="E5" s="2" t="e">
        <f t="shared" si="2"/>
        <v>#VALUE!</v>
      </c>
      <c r="F5" s="3" t="e">
        <f t="shared" si="3"/>
        <v>#VALUE!</v>
      </c>
      <c r="G5" s="3" t="e">
        <f t="shared" si="4"/>
        <v>#VALUE!</v>
      </c>
      <c r="H5" t="e">
        <f t="shared" si="5"/>
        <v>#VALUE!</v>
      </c>
      <c r="I5" t="e">
        <f t="shared" si="6"/>
        <v>#VALUE!</v>
      </c>
      <c r="J5" t="e">
        <f t="shared" si="7"/>
        <v>#VALUE!</v>
      </c>
      <c r="K5" s="4" t="e">
        <f t="shared" si="8"/>
        <v>#VALUE!</v>
      </c>
      <c r="M5" s="14"/>
      <c r="N5" s="14"/>
      <c r="O5" s="13"/>
    </row>
    <row r="6" spans="1:16" x14ac:dyDescent="0.2">
      <c r="A6" s="2" t="str">
        <f>'Input &amp; Results'!B22</f>
        <v xml:space="preserve"> </v>
      </c>
      <c r="B6" s="2" t="str">
        <f>'Input &amp; Results'!C22</f>
        <v xml:space="preserve"> </v>
      </c>
      <c r="C6" s="2" t="e">
        <f t="shared" si="0"/>
        <v>#VALUE!</v>
      </c>
      <c r="D6" s="2" t="e">
        <f t="shared" si="1"/>
        <v>#VALUE!</v>
      </c>
      <c r="E6" s="2" t="e">
        <f t="shared" si="2"/>
        <v>#VALUE!</v>
      </c>
      <c r="F6" s="3" t="e">
        <f t="shared" si="3"/>
        <v>#VALUE!</v>
      </c>
      <c r="G6" s="3" t="e">
        <f t="shared" si="4"/>
        <v>#VALUE!</v>
      </c>
      <c r="H6" t="e">
        <f t="shared" si="5"/>
        <v>#VALUE!</v>
      </c>
      <c r="I6" t="e">
        <f t="shared" si="6"/>
        <v>#VALUE!</v>
      </c>
      <c r="J6" t="e">
        <f t="shared" si="7"/>
        <v>#VALUE!</v>
      </c>
      <c r="K6" s="4" t="e">
        <f t="shared" si="8"/>
        <v>#VALUE!</v>
      </c>
      <c r="M6" s="14"/>
      <c r="N6" s="14"/>
      <c r="O6" s="13"/>
    </row>
    <row r="7" spans="1:16" x14ac:dyDescent="0.2">
      <c r="A7" s="2" t="str">
        <f>'Input &amp; Results'!B23</f>
        <v xml:space="preserve"> </v>
      </c>
      <c r="B7" s="2" t="str">
        <f>'Input &amp; Results'!C23</f>
        <v xml:space="preserve"> </v>
      </c>
      <c r="C7" s="2" t="e">
        <f t="shared" si="0"/>
        <v>#VALUE!</v>
      </c>
      <c r="D7" s="2" t="e">
        <f t="shared" si="1"/>
        <v>#VALUE!</v>
      </c>
      <c r="E7" s="2" t="e">
        <f t="shared" si="2"/>
        <v>#VALUE!</v>
      </c>
      <c r="F7" s="3" t="e">
        <f t="shared" si="3"/>
        <v>#VALUE!</v>
      </c>
      <c r="G7" s="3" t="e">
        <f t="shared" si="4"/>
        <v>#VALUE!</v>
      </c>
      <c r="H7" t="e">
        <f t="shared" si="5"/>
        <v>#VALUE!</v>
      </c>
      <c r="I7" t="e">
        <f t="shared" si="6"/>
        <v>#VALUE!</v>
      </c>
      <c r="J7" t="e">
        <f t="shared" si="7"/>
        <v>#VALUE!</v>
      </c>
      <c r="K7" s="4" t="e">
        <f t="shared" si="8"/>
        <v>#VALUE!</v>
      </c>
    </row>
    <row r="8" spans="1:16" x14ac:dyDescent="0.2">
      <c r="A8" s="2" t="str">
        <f>'Input &amp; Results'!B24</f>
        <v xml:space="preserve"> </v>
      </c>
      <c r="B8" s="2" t="str">
        <f>'Input &amp; Results'!C24</f>
        <v xml:space="preserve"> </v>
      </c>
      <c r="C8" s="2" t="e">
        <f t="shared" si="0"/>
        <v>#VALUE!</v>
      </c>
      <c r="D8" s="2" t="e">
        <f t="shared" si="1"/>
        <v>#VALUE!</v>
      </c>
      <c r="E8" s="2" t="e">
        <f t="shared" si="2"/>
        <v>#VALUE!</v>
      </c>
      <c r="F8" s="3" t="e">
        <f t="shared" si="3"/>
        <v>#VALUE!</v>
      </c>
      <c r="G8" s="3" t="e">
        <f t="shared" si="4"/>
        <v>#VALUE!</v>
      </c>
      <c r="H8" t="e">
        <f t="shared" si="5"/>
        <v>#VALUE!</v>
      </c>
      <c r="I8" t="e">
        <f t="shared" si="6"/>
        <v>#VALUE!</v>
      </c>
      <c r="J8" t="e">
        <f t="shared" si="7"/>
        <v>#VALUE!</v>
      </c>
      <c r="K8" s="4" t="e">
        <f t="shared" si="8"/>
        <v>#VALUE!</v>
      </c>
    </row>
    <row r="9" spans="1:16" x14ac:dyDescent="0.2">
      <c r="A9" s="2" t="str">
        <f>'Input &amp; Results'!B25</f>
        <v xml:space="preserve"> </v>
      </c>
      <c r="B9" s="2" t="str">
        <f>'Input &amp; Results'!C25</f>
        <v xml:space="preserve"> </v>
      </c>
      <c r="C9" s="2" t="e">
        <f t="shared" si="0"/>
        <v>#VALUE!</v>
      </c>
      <c r="D9" s="2" t="e">
        <f t="shared" si="1"/>
        <v>#VALUE!</v>
      </c>
      <c r="E9" s="2" t="e">
        <f t="shared" si="2"/>
        <v>#VALUE!</v>
      </c>
      <c r="F9" s="3" t="e">
        <f t="shared" si="3"/>
        <v>#VALUE!</v>
      </c>
      <c r="G9" s="3" t="e">
        <f t="shared" si="4"/>
        <v>#VALUE!</v>
      </c>
      <c r="H9" t="e">
        <f t="shared" si="5"/>
        <v>#VALUE!</v>
      </c>
      <c r="I9" t="e">
        <f t="shared" si="6"/>
        <v>#VALUE!</v>
      </c>
      <c r="J9" t="e">
        <f t="shared" si="7"/>
        <v>#VALUE!</v>
      </c>
      <c r="K9" s="4" t="e">
        <f t="shared" si="8"/>
        <v>#VALUE!</v>
      </c>
    </row>
    <row r="15" spans="1:16" x14ac:dyDescent="0.2">
      <c r="M15" s="2"/>
    </row>
  </sheetData>
  <sheetProtection algorithmName="SHA-512" hashValue="Q6bTEx3hQtUUsD/RtHXhRB7OoUgSDjnUFlisWOS0SqPFJuof1ZEjrtO1yUt6FHQoOG8vyN1EqemmMVc95Bm7Nw==" saltValue="ZhWzs03k8/C++WWfilwGwQ==" spinCount="100000" sheet="1" objects="1" scenarios="1"/>
  <phoneticPr fontId="0" type="noConversion"/>
  <pageMargins left="0.75" right="0.75" top="1" bottom="1" header="0.5" footer="0.5"/>
  <pageSetup paperSize="9" orientation="portrait" horizontalDpi="0" verticalDpi="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abSelected="1" zoomScaleNormal="100" workbookViewId="0">
      <selection activeCell="E35" sqref="E35"/>
    </sheetView>
  </sheetViews>
  <sheetFormatPr defaultRowHeight="12.75" x14ac:dyDescent="0.2"/>
  <cols>
    <col min="2" max="2" width="14.42578125" customWidth="1"/>
    <col min="3" max="3" width="15" customWidth="1"/>
    <col min="4" max="4" width="2.85546875" customWidth="1"/>
    <col min="5" max="5" width="13.140625" customWidth="1"/>
    <col min="6" max="6" width="2.5703125" customWidth="1"/>
    <col min="7" max="7" width="14.28515625" customWidth="1"/>
    <col min="8" max="8" width="2" customWidth="1"/>
    <col min="9" max="9" width="13.7109375" customWidth="1"/>
  </cols>
  <sheetData>
    <row r="1" spans="1:7" x14ac:dyDescent="0.2">
      <c r="A1" s="5" t="s">
        <v>15</v>
      </c>
    </row>
    <row r="3" spans="1:7" x14ac:dyDescent="0.2">
      <c r="B3" s="6" t="s">
        <v>16</v>
      </c>
      <c r="C3" s="22"/>
    </row>
    <row r="4" spans="1:7" x14ac:dyDescent="0.2">
      <c r="B4" s="6" t="s">
        <v>17</v>
      </c>
      <c r="C4" s="22"/>
    </row>
    <row r="5" spans="1:7" x14ac:dyDescent="0.2">
      <c r="B5" s="6" t="s">
        <v>18</v>
      </c>
      <c r="C5" s="11"/>
    </row>
    <row r="6" spans="1:7" ht="63.75" x14ac:dyDescent="0.2">
      <c r="B6" s="19" t="s">
        <v>19</v>
      </c>
      <c r="C6" s="11">
        <v>0</v>
      </c>
    </row>
    <row r="8" spans="1:7" x14ac:dyDescent="0.2">
      <c r="B8" s="6" t="s">
        <v>20</v>
      </c>
      <c r="C8" s="2">
        <f>IF('Technical Stuff'!O4&gt;C6,'Technical Stuff'!O4,C6)</f>
        <v>0</v>
      </c>
      <c r="D8" s="3" t="s">
        <v>1</v>
      </c>
      <c r="E8" s="2">
        <f>C5</f>
        <v>0</v>
      </c>
      <c r="G8">
        <f>(E8-C8)+1</f>
        <v>1</v>
      </c>
    </row>
    <row r="10" spans="1:7" x14ac:dyDescent="0.2">
      <c r="B10" s="7" t="s">
        <v>21</v>
      </c>
    </row>
    <row r="11" spans="1:7" ht="25.5" x14ac:dyDescent="0.2">
      <c r="B11" s="3" t="s">
        <v>22</v>
      </c>
      <c r="C11" s="3" t="s">
        <v>23</v>
      </c>
      <c r="E11" s="15" t="s">
        <v>24</v>
      </c>
      <c r="G11" s="15" t="s">
        <v>25</v>
      </c>
    </row>
    <row r="12" spans="1:7" x14ac:dyDescent="0.2">
      <c r="B12" s="11"/>
      <c r="C12" s="12"/>
      <c r="E12" s="17"/>
      <c r="G12" s="8">
        <f>C12+E12</f>
        <v>0</v>
      </c>
    </row>
    <row r="13" spans="1:7" x14ac:dyDescent="0.2">
      <c r="B13" s="11"/>
      <c r="C13" s="12"/>
      <c r="E13" s="17"/>
      <c r="G13" s="8" t="str">
        <f>IF(B13&gt;0,C13+E13,"")</f>
        <v/>
      </c>
    </row>
    <row r="14" spans="1:7" x14ac:dyDescent="0.2">
      <c r="B14" s="11"/>
      <c r="C14" s="12"/>
      <c r="E14" s="17"/>
      <c r="G14" s="8" t="str">
        <f>IF(B14&gt;0,C14+E14,"")</f>
        <v/>
      </c>
    </row>
    <row r="15" spans="1:7" x14ac:dyDescent="0.2">
      <c r="B15" s="11"/>
      <c r="C15" s="12"/>
      <c r="E15" s="17"/>
      <c r="G15" s="8" t="str">
        <f>IF(B15&gt;0,C15+E15,"")</f>
        <v/>
      </c>
    </row>
    <row r="16" spans="1:7" x14ac:dyDescent="0.2">
      <c r="B16" s="11"/>
      <c r="C16" s="12"/>
      <c r="E16" s="17"/>
      <c r="G16" s="8" t="str">
        <f>IF(B16&gt;0,C16+E16,"")</f>
        <v/>
      </c>
    </row>
    <row r="17" spans="2:9" x14ac:dyDescent="0.2">
      <c r="B17" s="11"/>
      <c r="C17" s="12"/>
      <c r="E17" s="17"/>
      <c r="G17" s="8" t="str">
        <f>IF(B17&gt;0,C17+E17,"")</f>
        <v/>
      </c>
    </row>
    <row r="19" spans="2:9" x14ac:dyDescent="0.2">
      <c r="B19" t="s">
        <v>22</v>
      </c>
      <c r="C19" t="s">
        <v>26</v>
      </c>
      <c r="E19" t="s">
        <v>27</v>
      </c>
      <c r="G19" t="s">
        <v>28</v>
      </c>
      <c r="H19" s="3"/>
      <c r="I19" s="3" t="s">
        <v>29</v>
      </c>
    </row>
    <row r="20" spans="2:9" x14ac:dyDescent="0.2">
      <c r="B20" s="2">
        <f>C8</f>
        <v>0</v>
      </c>
      <c r="C20" s="2">
        <f>IF((B13-1)&gt;0,B13-1,E8)</f>
        <v>0</v>
      </c>
      <c r="E20" s="8">
        <f>ROUND(C12/12,2)+ROUND(E12/12,2)</f>
        <v>0</v>
      </c>
      <c r="F20" s="3" t="s">
        <v>30</v>
      </c>
      <c r="G20" s="9">
        <f>'Technical Stuff'!K4</f>
        <v>0</v>
      </c>
      <c r="H20" s="3" t="s">
        <v>31</v>
      </c>
      <c r="I20" s="8">
        <f>ROUND(E20*G20,2)</f>
        <v>0</v>
      </c>
    </row>
    <row r="21" spans="2:9" x14ac:dyDescent="0.2">
      <c r="B21" s="2" t="str">
        <f>IF(B13&gt;0,B13," ")</f>
        <v xml:space="preserve"> </v>
      </c>
      <c r="C21" s="2" t="str">
        <f>IF(AND(B13&gt;0, B14&gt;0), B14-1,IF(C20&lt;&gt;E8,E8," "))</f>
        <v xml:space="preserve"> </v>
      </c>
      <c r="E21" s="8" t="str">
        <f>IF(C13&gt;0,(ROUND(C13/12,2))+ROUND(E13/12,2)," ")</f>
        <v xml:space="preserve"> </v>
      </c>
      <c r="F21" s="3" t="str">
        <f>IF(E21=" "," ","x")</f>
        <v xml:space="preserve"> </v>
      </c>
      <c r="G21" s="9" t="str">
        <f>IF(F21="x",'Technical Stuff'!K5," ")</f>
        <v xml:space="preserve"> </v>
      </c>
      <c r="H21" t="str">
        <f>IF(F21="x","=", " ")</f>
        <v xml:space="preserve"> </v>
      </c>
      <c r="I21" s="8" t="str">
        <f>IF(F21="x",ROUND(E21*G21,2)," ")</f>
        <v xml:space="preserve"> </v>
      </c>
    </row>
    <row r="22" spans="2:9" x14ac:dyDescent="0.2">
      <c r="B22" s="2" t="str">
        <f>IF(B14&gt;0,B14," ")</f>
        <v xml:space="preserve"> </v>
      </c>
      <c r="C22" s="2" t="str">
        <f>IF(AND(B14&gt;0, B15&gt;0), B15-1,IF(AND(C20&lt;&gt;E8,C21&lt;&gt;E8),E8," "))</f>
        <v xml:space="preserve"> </v>
      </c>
      <c r="E22" s="8" t="str">
        <f>IF(C14&gt;0,ROUND(C14/12,2)+ROUND(E14/12,2)," ")</f>
        <v xml:space="preserve"> </v>
      </c>
      <c r="F22" s="3" t="str">
        <f>IF(E22=" "," ","x")</f>
        <v xml:space="preserve"> </v>
      </c>
      <c r="G22" s="9" t="str">
        <f>IF(F22="x",'Technical Stuff'!K6," ")</f>
        <v xml:space="preserve"> </v>
      </c>
      <c r="H22" t="str">
        <f>IF(F22="x","=", " ")</f>
        <v xml:space="preserve"> </v>
      </c>
      <c r="I22" s="8" t="str">
        <f>IF(F22="x",ROUND(E22*G22,2)," ")</f>
        <v xml:space="preserve"> </v>
      </c>
    </row>
    <row r="23" spans="2:9" x14ac:dyDescent="0.2">
      <c r="B23" s="2" t="str">
        <f>IF(B15&gt;0,B15," ")</f>
        <v xml:space="preserve"> </v>
      </c>
      <c r="C23" s="2" t="str">
        <f>IF(AND(B15&gt;0, B16&gt;0), B16-1,IF(AND(C20&lt;&gt;E8,C21&lt;&gt;E8,C22&lt;&gt;E8),E8," "))</f>
        <v xml:space="preserve"> </v>
      </c>
      <c r="E23" s="8" t="str">
        <f>IF(C15&gt;0,ROUND(C15/12,2)+ROUND(E15/12,2)," ")</f>
        <v xml:space="preserve"> </v>
      </c>
      <c r="F23" s="3" t="str">
        <f>IF(E23=" "," ","x")</f>
        <v xml:space="preserve"> </v>
      </c>
      <c r="G23" s="9" t="str">
        <f>IF(F23="x",'Technical Stuff'!K7," ")</f>
        <v xml:space="preserve"> </v>
      </c>
      <c r="H23" t="str">
        <f>IF(F23="x","=", " ")</f>
        <v xml:space="preserve"> </v>
      </c>
      <c r="I23" s="8" t="str">
        <f>IF(F23="x",ROUND(E23*G23,2)," ")</f>
        <v xml:space="preserve"> </v>
      </c>
    </row>
    <row r="24" spans="2:9" x14ac:dyDescent="0.2">
      <c r="B24" s="2" t="str">
        <f>IF(B16&gt;0,B16," ")</f>
        <v xml:space="preserve"> </v>
      </c>
      <c r="C24" s="2" t="str">
        <f>IF(AND(B16&gt;0, B17&gt;0), B17-1,IF(AND(C20&lt;&gt;E8,C21&lt;&gt;E8,C22&lt;&gt;E8,C23&lt;&gt;E8),E8," "))</f>
        <v xml:space="preserve"> </v>
      </c>
      <c r="E24" s="8" t="str">
        <f>IF(C16&gt;0,ROUND(C16/12,2)+ROUND(E16/12,2)," ")</f>
        <v xml:space="preserve"> </v>
      </c>
      <c r="F24" s="3" t="str">
        <f>IF(E24=" "," ","x")</f>
        <v xml:space="preserve"> </v>
      </c>
      <c r="G24" s="9" t="str">
        <f>IF(F24="x",'Technical Stuff'!K8," ")</f>
        <v xml:space="preserve"> </v>
      </c>
      <c r="H24" t="str">
        <f>IF(F24="x","=", " ")</f>
        <v xml:space="preserve"> </v>
      </c>
      <c r="I24" s="8" t="str">
        <f>IF(F24="x",ROUND(E24*G24,2)," ")</f>
        <v xml:space="preserve"> </v>
      </c>
    </row>
    <row r="25" spans="2:9" x14ac:dyDescent="0.2">
      <c r="B25" s="2" t="str">
        <f>IF(B17&gt;0,B17," ")</f>
        <v xml:space="preserve"> </v>
      </c>
      <c r="C25" s="2" t="str">
        <f>IF(AND(B17&gt;0, B18&gt;0), B18-1,IF(AND(C20&lt;&gt;E8,C21&lt;&gt;E8,C22&lt;&gt;E8,C23&lt;&gt;E8,C24&lt;&gt;E8),E8," "))</f>
        <v xml:space="preserve"> </v>
      </c>
      <c r="E25" s="8" t="str">
        <f>IF(C17&gt;0,ROUND(C17/12,2)+ROUND(E17/12,2)," ")</f>
        <v xml:space="preserve"> </v>
      </c>
      <c r="F25" s="3" t="str">
        <f>IF(E25=" "," ","x")</f>
        <v xml:space="preserve"> </v>
      </c>
      <c r="G25" s="9" t="str">
        <f>IF(F25="x",'Technical Stuff'!K9," ")</f>
        <v xml:space="preserve"> </v>
      </c>
      <c r="H25" t="str">
        <f>IF(F25="x","=", " ")</f>
        <v xml:space="preserve"> </v>
      </c>
      <c r="I25" s="8" t="str">
        <f>IF(F25="x",ROUND(E25*G25,2)," ")</f>
        <v xml:space="preserve"> </v>
      </c>
    </row>
    <row r="26" spans="2:9" x14ac:dyDescent="0.2">
      <c r="G26" s="18"/>
      <c r="H26" t="s">
        <v>31</v>
      </c>
      <c r="I26" s="16"/>
    </row>
    <row r="27" spans="2:9" ht="13.5" thickBot="1" x14ac:dyDescent="0.25">
      <c r="G27" s="6" t="str">
        <f>IF('Technical Stuff'!O4=C8,"FINAL PAY","PAY IN RELEVANT PERIOD")</f>
        <v>PAY IN RELEVANT PERIOD</v>
      </c>
      <c r="I27" s="10">
        <f>SUM(I20:I26)</f>
        <v>0</v>
      </c>
    </row>
    <row r="28" spans="2:9" ht="13.5" thickTop="1" x14ac:dyDescent="0.2">
      <c r="E28" t="s">
        <v>32</v>
      </c>
      <c r="G28" s="9">
        <f>SUM(G20:G25)</f>
        <v>0</v>
      </c>
    </row>
    <row r="30" spans="2:9" x14ac:dyDescent="0.2">
      <c r="G30" t="str">
        <f>IF(G27="FINAL PAY"," ","FINAL PAY")</f>
        <v>FINAL PAY</v>
      </c>
      <c r="H30" t="str">
        <f>IF(G27="FINAL PAY"," ","=")</f>
        <v>=</v>
      </c>
      <c r="I30" s="20">
        <f>IF(G27="FINAL PAY"," ",ROUND(I27*365/G8,2))</f>
        <v>0</v>
      </c>
    </row>
  </sheetData>
  <sheetProtection password="CA6C" sheet="1" objects="1" scenarios="1"/>
  <phoneticPr fontId="0" type="noConversion"/>
  <pageMargins left="0.75" right="0.75" top="1" bottom="1" header="0.5" footer="0.5"/>
  <pageSetup paperSize="9"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24388-3B35-4D24-B4BE-9FFC304835F9}">
  <dimension ref="B1:S37"/>
  <sheetViews>
    <sheetView topLeftCell="A3" workbookViewId="0">
      <selection activeCell="O45" sqref="O45"/>
    </sheetView>
  </sheetViews>
  <sheetFormatPr defaultRowHeight="12.75" x14ac:dyDescent="0.2"/>
  <cols>
    <col min="1" max="1" width="0.42578125" style="26" customWidth="1"/>
    <col min="2" max="2" width="9.28515625" style="26" customWidth="1"/>
    <col min="3" max="3" width="24.85546875" style="26" customWidth="1"/>
    <col min="4" max="4" width="18.42578125" style="26" customWidth="1"/>
    <col min="5" max="5" width="9.140625" style="26"/>
    <col min="6" max="6" width="13.5703125" style="26" bestFit="1" customWidth="1"/>
    <col min="7" max="7" width="9.140625" style="26"/>
    <col min="8" max="8" width="13.42578125" style="26" customWidth="1"/>
    <col min="9" max="9" width="9.140625" style="26"/>
    <col min="10" max="10" width="10.140625" style="26" bestFit="1" customWidth="1"/>
    <col min="11" max="16384" width="9.140625" style="26"/>
  </cols>
  <sheetData>
    <row r="1" spans="2:19" x14ac:dyDescent="0.2">
      <c r="B1" s="30" t="s">
        <v>41</v>
      </c>
    </row>
    <row r="2" spans="2:19" ht="13.5" thickBot="1" x14ac:dyDescent="0.25">
      <c r="B2" s="30"/>
    </row>
    <row r="3" spans="2:19" ht="108" customHeight="1" thickBot="1" x14ac:dyDescent="0.25">
      <c r="B3" s="39" t="s">
        <v>39</v>
      </c>
      <c r="C3" s="40"/>
      <c r="D3" s="40"/>
      <c r="E3" s="40"/>
      <c r="F3" s="40"/>
      <c r="G3" s="40"/>
      <c r="H3" s="40"/>
      <c r="I3" s="40"/>
      <c r="J3" s="40"/>
      <c r="K3" s="40"/>
      <c r="L3" s="40"/>
      <c r="M3" s="40"/>
      <c r="N3" s="41"/>
    </row>
    <row r="5" spans="2:19" x14ac:dyDescent="0.2">
      <c r="C5" s="31" t="s">
        <v>16</v>
      </c>
      <c r="D5" s="22" t="s">
        <v>33</v>
      </c>
      <c r="E5" s="42" t="s">
        <v>35</v>
      </c>
      <c r="F5" s="43"/>
      <c r="G5" s="43"/>
      <c r="H5" s="44"/>
    </row>
    <row r="6" spans="2:19" x14ac:dyDescent="0.2">
      <c r="C6" s="31" t="s">
        <v>17</v>
      </c>
      <c r="D6" s="22" t="s">
        <v>34</v>
      </c>
      <c r="E6" s="45" t="s">
        <v>36</v>
      </c>
      <c r="F6" s="46"/>
      <c r="G6" s="46"/>
      <c r="H6" s="47"/>
    </row>
    <row r="7" spans="2:19" x14ac:dyDescent="0.2">
      <c r="C7" s="31" t="s">
        <v>38</v>
      </c>
      <c r="D7" s="23">
        <v>45382</v>
      </c>
      <c r="E7" s="42" t="s">
        <v>37</v>
      </c>
      <c r="F7" s="43"/>
      <c r="G7" s="43"/>
      <c r="H7" s="43"/>
      <c r="I7" s="43"/>
      <c r="J7" s="43"/>
      <c r="K7" s="43"/>
      <c r="L7" s="43"/>
      <c r="M7" s="43"/>
      <c r="N7" s="43"/>
      <c r="O7" s="43"/>
      <c r="P7" s="43"/>
      <c r="Q7" s="43"/>
      <c r="R7" s="43"/>
      <c r="S7" s="44"/>
    </row>
    <row r="8" spans="2:19" ht="25.5" x14ac:dyDescent="0.2">
      <c r="C8" s="32" t="s">
        <v>19</v>
      </c>
      <c r="D8" s="24"/>
      <c r="E8" s="48" t="s">
        <v>40</v>
      </c>
      <c r="F8" s="49"/>
      <c r="G8" s="49"/>
      <c r="H8" s="49"/>
      <c r="I8" s="49"/>
      <c r="J8" s="49"/>
      <c r="K8" s="49"/>
      <c r="L8" s="49"/>
      <c r="M8" s="49"/>
      <c r="N8" s="49"/>
      <c r="O8" s="49"/>
      <c r="P8" s="49"/>
      <c r="Q8" s="49"/>
      <c r="R8" s="49"/>
      <c r="S8" s="50"/>
    </row>
    <row r="10" spans="2:19" x14ac:dyDescent="0.2">
      <c r="C10" s="31" t="s">
        <v>20</v>
      </c>
      <c r="D10" s="25">
        <f>IF('Technical Stuff - EXAMPLE'!O4&gt;D8,'Technical Stuff - EXAMPLE'!O4,D8)</f>
        <v>45017</v>
      </c>
      <c r="E10" s="28" t="s">
        <v>1</v>
      </c>
      <c r="F10" s="25">
        <f>D7</f>
        <v>45382</v>
      </c>
      <c r="H10" s="26">
        <f>(F10-D10)+1</f>
        <v>366</v>
      </c>
    </row>
    <row r="11" spans="2:19" x14ac:dyDescent="0.2">
      <c r="C11" s="38"/>
      <c r="D11" s="38"/>
      <c r="E11" s="38"/>
      <c r="F11" s="38"/>
      <c r="G11" s="38"/>
      <c r="H11" s="38"/>
    </row>
    <row r="12" spans="2:19" x14ac:dyDescent="0.2">
      <c r="C12" s="33" t="s">
        <v>21</v>
      </c>
    </row>
    <row r="13" spans="2:19" ht="25.5" x14ac:dyDescent="0.2">
      <c r="C13" s="28" t="s">
        <v>22</v>
      </c>
      <c r="D13" s="28" t="s">
        <v>23</v>
      </c>
      <c r="F13" s="34" t="s">
        <v>24</v>
      </c>
      <c r="H13" s="34" t="s">
        <v>25</v>
      </c>
    </row>
    <row r="14" spans="2:19" x14ac:dyDescent="0.2">
      <c r="C14" s="11">
        <v>45017</v>
      </c>
      <c r="D14" s="12">
        <v>28725</v>
      </c>
      <c r="F14" s="17">
        <v>4681.8</v>
      </c>
      <c r="H14" s="27">
        <f>D14+F14</f>
        <v>33406.800000000003</v>
      </c>
    </row>
    <row r="15" spans="2:19" x14ac:dyDescent="0.2">
      <c r="C15" s="11">
        <v>45170</v>
      </c>
      <c r="D15" s="12">
        <v>29725</v>
      </c>
      <c r="F15" s="17">
        <v>4756</v>
      </c>
      <c r="H15" s="27">
        <f>IF(C15&gt;0,D15+F15,"")</f>
        <v>34481</v>
      </c>
    </row>
    <row r="16" spans="2:19" x14ac:dyDescent="0.2">
      <c r="C16" s="11"/>
      <c r="D16" s="12"/>
      <c r="F16" s="17"/>
      <c r="H16" s="27" t="str">
        <f>IF(C16&gt;0,D16+F16,"")</f>
        <v/>
      </c>
    </row>
    <row r="17" spans="3:10" x14ac:dyDescent="0.2">
      <c r="C17" s="11"/>
      <c r="D17" s="12"/>
      <c r="F17" s="17"/>
      <c r="H17" s="27" t="str">
        <f>IF(C17&gt;0,D17+F17,"")</f>
        <v/>
      </c>
    </row>
    <row r="18" spans="3:10" x14ac:dyDescent="0.2">
      <c r="C18" s="11"/>
      <c r="D18" s="12"/>
      <c r="F18" s="17"/>
      <c r="H18" s="27" t="str">
        <f>IF(C18&gt;0,D18+F18,"")</f>
        <v/>
      </c>
    </row>
    <row r="19" spans="3:10" x14ac:dyDescent="0.2">
      <c r="C19" s="11"/>
      <c r="D19" s="12"/>
      <c r="F19" s="17"/>
      <c r="H19" s="27" t="str">
        <f>IF(C19&gt;0,D19+F19,"")</f>
        <v/>
      </c>
    </row>
    <row r="21" spans="3:10" x14ac:dyDescent="0.2">
      <c r="C21" s="26" t="s">
        <v>22</v>
      </c>
      <c r="D21" s="26" t="s">
        <v>26</v>
      </c>
      <c r="F21" s="26" t="s">
        <v>27</v>
      </c>
      <c r="H21" s="26" t="s">
        <v>28</v>
      </c>
      <c r="I21" s="28"/>
      <c r="J21" s="28" t="s">
        <v>29</v>
      </c>
    </row>
    <row r="22" spans="3:10" x14ac:dyDescent="0.2">
      <c r="C22" s="25">
        <f>D10</f>
        <v>45017</v>
      </c>
      <c r="D22" s="25">
        <f>IF((C15-1)&gt;0,C15-1,F10)</f>
        <v>45169</v>
      </c>
      <c r="F22" s="27">
        <f>ROUND(D14/12,2)+ROUND(F14/12,2)</f>
        <v>2783.9</v>
      </c>
      <c r="G22" s="28" t="s">
        <v>30</v>
      </c>
      <c r="H22" s="29">
        <f>'Technical Stuff - EXAMPLE'!K4</f>
        <v>5</v>
      </c>
      <c r="I22" s="28" t="s">
        <v>31</v>
      </c>
      <c r="J22" s="27">
        <f>ROUND(F22*H22,2)</f>
        <v>13919.5</v>
      </c>
    </row>
    <row r="23" spans="3:10" x14ac:dyDescent="0.2">
      <c r="C23" s="25">
        <f>IF(C15&gt;0,C15," ")</f>
        <v>45170</v>
      </c>
      <c r="D23" s="25">
        <f>IF(AND(C15&gt;0, C16&gt;0), C16-1,IF(D22&lt;&gt;F10,F10," "))</f>
        <v>45382</v>
      </c>
      <c r="F23" s="27">
        <f>IF(D15&gt;0,(ROUND(D15/12,2))+ROUND(F15/12,2)," ")</f>
        <v>2873.41</v>
      </c>
      <c r="G23" s="28" t="str">
        <f>IF(F23=" "," ","x")</f>
        <v>x</v>
      </c>
      <c r="H23" s="29">
        <f>IF(G23="x",'Technical Stuff - EXAMPLE'!K5," ")</f>
        <v>7</v>
      </c>
      <c r="I23" s="26" t="str">
        <f>IF(G23="x","=", " ")</f>
        <v>=</v>
      </c>
      <c r="J23" s="27">
        <f>IF(G23="x",ROUND(F23*H23,2)," ")</f>
        <v>20113.87</v>
      </c>
    </row>
    <row r="24" spans="3:10" x14ac:dyDescent="0.2">
      <c r="C24" s="25" t="str">
        <f>IF(C16&gt;0,C16," ")</f>
        <v xml:space="preserve"> </v>
      </c>
      <c r="D24" s="25" t="str">
        <f>IF(AND(C16&gt;0, C17&gt;0), C17-1,IF(AND(D22&lt;&gt;F10,D23&lt;&gt;F10),F10," "))</f>
        <v xml:space="preserve"> </v>
      </c>
      <c r="F24" s="27" t="str">
        <f>IF(D16&gt;0,ROUND(D16/12,2)+ROUND(F16/12,2)," ")</f>
        <v xml:space="preserve"> </v>
      </c>
      <c r="G24" s="28" t="str">
        <f>IF(F24=" "," ","x")</f>
        <v xml:space="preserve"> </v>
      </c>
      <c r="H24" s="29" t="str">
        <f>IF(G24="x",'Technical Stuff'!K6," ")</f>
        <v xml:space="preserve"> </v>
      </c>
      <c r="I24" s="26" t="str">
        <f>IF(G24="x","=", " ")</f>
        <v xml:space="preserve"> </v>
      </c>
      <c r="J24" s="27" t="str">
        <f>IF(G24="x",ROUND(F24*H24,2)," ")</f>
        <v xml:space="preserve"> </v>
      </c>
    </row>
    <row r="25" spans="3:10" x14ac:dyDescent="0.2">
      <c r="C25" s="25" t="str">
        <f>IF(C17&gt;0,C17," ")</f>
        <v xml:space="preserve"> </v>
      </c>
      <c r="D25" s="25" t="str">
        <f>IF(AND(C17&gt;0, C18&gt;0), C18-1,IF(AND(D22&lt;&gt;F10,D23&lt;&gt;F10,D24&lt;&gt;F10),F10," "))</f>
        <v xml:space="preserve"> </v>
      </c>
      <c r="F25" s="27" t="str">
        <f>IF(D17&gt;0,ROUND(D17/12,2)+ROUND(F17/12,2)," ")</f>
        <v xml:space="preserve"> </v>
      </c>
      <c r="G25" s="28" t="str">
        <f>IF(F25=" "," ","x")</f>
        <v xml:space="preserve"> </v>
      </c>
      <c r="H25" s="29" t="str">
        <f>IF(G25="x",'Technical Stuff'!K7," ")</f>
        <v xml:space="preserve"> </v>
      </c>
      <c r="I25" s="26" t="str">
        <f>IF(G25="x","=", " ")</f>
        <v xml:space="preserve"> </v>
      </c>
      <c r="J25" s="27" t="str">
        <f>IF(G25="x",ROUND(F25*H25,2)," ")</f>
        <v xml:space="preserve"> </v>
      </c>
    </row>
    <row r="26" spans="3:10" x14ac:dyDescent="0.2">
      <c r="C26" s="25" t="str">
        <f>IF(C18&gt;0,C18," ")</f>
        <v xml:space="preserve"> </v>
      </c>
      <c r="D26" s="25" t="str">
        <f>IF(AND(C18&gt;0, C19&gt;0), C19-1,IF(AND(D22&lt;&gt;F10,D23&lt;&gt;F10,D24&lt;&gt;F10,D25&lt;&gt;F10),F10," "))</f>
        <v xml:space="preserve"> </v>
      </c>
      <c r="F26" s="27" t="str">
        <f>IF(D18&gt;0,ROUND(D18/12,2)+ROUND(F18/12,2)," ")</f>
        <v xml:space="preserve"> </v>
      </c>
      <c r="G26" s="28" t="str">
        <f>IF(F26=" "," ","x")</f>
        <v xml:space="preserve"> </v>
      </c>
      <c r="H26" s="29" t="str">
        <f>IF(G26="x",'Technical Stuff'!K8," ")</f>
        <v xml:space="preserve"> </v>
      </c>
      <c r="I26" s="26" t="str">
        <f>IF(G26="x","=", " ")</f>
        <v xml:space="preserve"> </v>
      </c>
      <c r="J26" s="27" t="str">
        <f>IF(G26="x",ROUND(F26*H26,2)," ")</f>
        <v xml:space="preserve"> </v>
      </c>
    </row>
    <row r="27" spans="3:10" x14ac:dyDescent="0.2">
      <c r="C27" s="25" t="str">
        <f>IF(C19&gt;0,C19," ")</f>
        <v xml:space="preserve"> </v>
      </c>
      <c r="D27" s="25" t="str">
        <f>IF(AND(C19&gt;0, C20&gt;0), C20-1,IF(AND(D22&lt;&gt;F10,D23&lt;&gt;F10,D24&lt;&gt;F10,D25&lt;&gt;F10,D26&lt;&gt;F10),F10," "))</f>
        <v xml:space="preserve"> </v>
      </c>
      <c r="F27" s="27" t="str">
        <f>IF(D19&gt;0,ROUND(D19/12,2)+ROUND(F19/12,2)," ")</f>
        <v xml:space="preserve"> </v>
      </c>
      <c r="G27" s="28" t="str">
        <f>IF(F27=" "," ","x")</f>
        <v xml:space="preserve"> </v>
      </c>
      <c r="H27" s="29" t="str">
        <f>IF(G27="x",'Technical Stuff'!K9," ")</f>
        <v xml:space="preserve"> </v>
      </c>
      <c r="I27" s="26" t="str">
        <f>IF(G27="x","=", " ")</f>
        <v xml:space="preserve"> </v>
      </c>
      <c r="J27" s="27" t="str">
        <f>IF(G27="x",ROUND(F27*H27,2)," ")</f>
        <v xml:space="preserve"> </v>
      </c>
    </row>
    <row r="28" spans="3:10" x14ac:dyDescent="0.2">
      <c r="H28" s="18"/>
      <c r="I28" s="26" t="s">
        <v>31</v>
      </c>
      <c r="J28" s="16"/>
    </row>
    <row r="29" spans="3:10" ht="13.5" thickBot="1" x14ac:dyDescent="0.25">
      <c r="H29" s="31" t="str">
        <f>IF('Technical Stuff - EXAMPLE'!O4=D10,"FINAL PAY","PAY IN RELEVANT PERIOD")</f>
        <v>FINAL PAY</v>
      </c>
      <c r="J29" s="35">
        <f>SUM(J22:J28)</f>
        <v>34033.369999999995</v>
      </c>
    </row>
    <row r="30" spans="3:10" ht="13.5" thickTop="1" x14ac:dyDescent="0.2">
      <c r="F30" s="26" t="s">
        <v>32</v>
      </c>
      <c r="H30" s="29">
        <f>SUM(H22:H27)</f>
        <v>12</v>
      </c>
    </row>
    <row r="32" spans="3:10" x14ac:dyDescent="0.2">
      <c r="H32" s="26" t="str">
        <f>IF(H29="FINAL PAY"," ","FINAL PAY")</f>
        <v xml:space="preserve"> </v>
      </c>
      <c r="I32" s="26" t="str">
        <f>IF(H29="FINAL PAY"," ","=")</f>
        <v xml:space="preserve"> </v>
      </c>
      <c r="J32" s="36" t="str">
        <f>IF(H29="FINAL PAY"," ",ROUND(J29*365/H10,2))</f>
        <v xml:space="preserve"> </v>
      </c>
    </row>
    <row r="37" spans="6:6" x14ac:dyDescent="0.2">
      <c r="F37" s="37"/>
    </row>
  </sheetData>
  <mergeCells count="6">
    <mergeCell ref="C11:H11"/>
    <mergeCell ref="B3:N3"/>
    <mergeCell ref="E5:H5"/>
    <mergeCell ref="E6:H6"/>
    <mergeCell ref="E7:S7"/>
    <mergeCell ref="E8:S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A7D1-D073-48A1-8D81-0FB7A7F890C8}">
  <dimension ref="A3:P15"/>
  <sheetViews>
    <sheetView workbookViewId="0">
      <selection activeCell="H30" sqref="H30"/>
    </sheetView>
  </sheetViews>
  <sheetFormatPr defaultRowHeight="12.75" x14ac:dyDescent="0.2"/>
  <cols>
    <col min="1" max="5" width="10.140625" bestFit="1" customWidth="1"/>
    <col min="6" max="6" width="8.85546875" bestFit="1" customWidth="1"/>
    <col min="7" max="10" width="8.5703125" bestFit="1" customWidth="1"/>
    <col min="13" max="15" width="10.140625" bestFit="1" customWidth="1"/>
    <col min="16" max="16" width="10.7109375" bestFit="1" customWidth="1"/>
  </cols>
  <sheetData>
    <row r="3" spans="1:16" ht="114.75" x14ac:dyDescent="0.2">
      <c r="A3" t="s">
        <v>0</v>
      </c>
      <c r="B3" t="s">
        <v>1</v>
      </c>
      <c r="C3" s="1" t="s">
        <v>2</v>
      </c>
      <c r="D3" s="1" t="s">
        <v>3</v>
      </c>
      <c r="E3" s="1" t="s">
        <v>4</v>
      </c>
      <c r="F3" s="1" t="s">
        <v>5</v>
      </c>
      <c r="G3" s="1" t="s">
        <v>6</v>
      </c>
      <c r="H3" s="1" t="s">
        <v>7</v>
      </c>
      <c r="I3" s="1" t="s">
        <v>8</v>
      </c>
      <c r="J3" s="1" t="s">
        <v>9</v>
      </c>
      <c r="K3" s="1" t="s">
        <v>10</v>
      </c>
      <c r="M3" t="s">
        <v>11</v>
      </c>
      <c r="N3" t="s">
        <v>12</v>
      </c>
      <c r="O3" t="s">
        <v>13</v>
      </c>
      <c r="P3" t="s">
        <v>14</v>
      </c>
    </row>
    <row r="4" spans="1:16" ht="15" x14ac:dyDescent="0.2">
      <c r="A4" s="2">
        <f>EXAMPLE!C22</f>
        <v>45017</v>
      </c>
      <c r="B4" s="2">
        <f>EXAMPLE!D22</f>
        <v>45169</v>
      </c>
      <c r="C4" s="2">
        <f>EOMONTH(A4, -1)</f>
        <v>45016</v>
      </c>
      <c r="D4" s="2">
        <f t="shared" ref="D4:D9" si="0">EOMONTH(B4, 1)</f>
        <v>45199</v>
      </c>
      <c r="E4" s="2">
        <f t="shared" ref="E4:E9" si="1">(EOMONTH(D4, -1))+1</f>
        <v>45170</v>
      </c>
      <c r="F4" s="3">
        <f>IF(AND(MONTH(B4)=MONTH(A4), YEAR(B4)=YEAR(A4)),"1",IF(YEAR(B4)=YEAR(A4),(((MONTH(B4))+1)-(MONTH(A4))),(((YEAR(B4)-YEAR(A4))*12)+(IF(MONTH(A4)=1,12,0))+(((MONTH((E4)-1)))-(MONTH(C4))))))</f>
        <v>5</v>
      </c>
      <c r="G4" s="3">
        <f>A4-C4-1</f>
        <v>0</v>
      </c>
      <c r="H4">
        <f>DAY(EOMONTH(C4,1))</f>
        <v>30</v>
      </c>
      <c r="I4">
        <f t="shared" ref="I4:I9" si="2">E4-B4-1</f>
        <v>0</v>
      </c>
      <c r="J4">
        <f t="shared" ref="J4:J9" si="3">DAY(E4-1)</f>
        <v>31</v>
      </c>
      <c r="K4" s="4">
        <f t="shared" ref="K4:K9" si="4">IF(A4+B4&lt;&gt;0, F4-((G4/H4)+(I4/J4)), 0)</f>
        <v>5</v>
      </c>
      <c r="M4" s="13">
        <f>EXAMPLE!D7</f>
        <v>45382</v>
      </c>
      <c r="N4" s="13">
        <f>M4-364</f>
        <v>45018</v>
      </c>
      <c r="O4" s="13">
        <f>N4+P4</f>
        <v>45017</v>
      </c>
      <c r="P4" s="21">
        <f>IF(AND(DATEVALUE("29/2/2096")&gt;(N4-1),(DATEVALUE("29/2/2096")&lt;=(M4))),-1,IF(AND(DATEVALUE("29/2/2092")&gt;(N4-1),(DATEVALUE("29/2/2092")&lt;=(M4))),-1,IF(AND(DATEVALUE("29/2/2088")&gt;(N4-1),(DATEVALUE("29/2/2088")&lt;=(M4))),-1,IF(AND(DATEVALUE("29/2/2084")&gt;(N4-1),(DATEVALUE("29/2/2084")&lt;=(M4))),-1,IF(AND(DATEVALUE("29/2/2080")&gt;(N4-1),(DATEVALUE("29/2/2080")&lt;=(M4))),-1,IF(AND(DATEVALUE("29/2/2076")&gt;(N4-1),(DATEVALUE("29/2/2076")&lt;=(M4))),-1,IF(AND(DATEVALUE("29/2/2072")&gt;(N4-1),(DATEVALUE("29/2/2072")&lt;=(M4))),-1,IF(AND(DATEVALUE("29/2/2068")&gt;(N4-1),(DATEVALUE("29/2/2068")&lt;=(M4))),-1,IF(AND(DATEVALUE("29/2/2064")&gt;(N4-1),(DATEVALUE("29/2/2064")&lt;=(M4))),-1,IF(AND(DATEVALUE("29/2/2060")&gt;(N4-1),(DATEVALUE("29/2/2060")&lt;=(M4))),-1,IF(AND(DATEVALUE("29/2/2056")&gt;(N4-1),(DATEVALUE("29/2/2056")&lt;=(M4))),-1,IF(AND(DATEVALUE("29/2/2052")&gt;(N4-1),(DATEVALUE("29/2/2052")&lt;=(M4))),-1,IF(AND(DATEVALUE("29/2/2048")&gt;(N4-1),(DATEVALUE("29/2/2048")&lt;=(M4))),-1,IF(AND(DATEVALUE("29/2/2044")&gt;(N4-1),(DATEVALUE("29/2/2044")&lt;=(M4))),-1,IF(AND(DATEVALUE("29/2/2040")&gt;(N4-1),(DATEVALUE("29/2/2040")&lt;=(M4))),-1,IF(AND(DATEVALUE("29/2/2036")&gt;(N4-1),(DATEVALUE("29/2/2036")&lt;=(M4))),-1,IF(AND(DATEVALUE("29/2/2032")&gt;(N4-1),(DATEVALUE("29/2/2032")&lt;=(M4))),-1,IF(AND(DATEVALUE("29/2/2028")&gt;(N4-1),(DATEVALUE("29/2/2028")&lt;=(M4))),-1,IF(AND(DATEVALUE("29/2/2024")&gt;(N4-1),(DATEVALUE("29/2/2024")&lt;=(M4))),-1,IF(AND(DATEVALUE("29/2/2020")&gt;(N4-1),(DATEVALUE("29/2/2020")&lt;=(M4))),-1,IF(AND(DATEVALUE("29/2/2016")&gt;(N4-1),(DATEVALUE("29/2/2016")&lt;=(M4))),-1,IF(AND(DATEVALUE("29/2/2012")&gt;(N4-1),(DATEVALUE("29/2/2012")&lt;=(M4))),-1,IF(AND(DATEVALUE("29/2/2008")&gt;(N4-1),(DATEVALUE("29/2/2008")&lt;=(M4))),-1,IF(AND(DATEVALUE("29/2/2004")&gt;(N4-1),(DATEVALUE("29/2/2004")&lt;=(M4))),-1,IF(AND(DATEVALUE("29/2/2000")&gt;(N4-1),(DATEVALUE("29/2/2000")&lt;=(M4))),-1,IF(AND(DATEVALUE("29/2/1996")&gt;(N4-1),(DATEVALUE("29/2/1996")&lt;=(M4))),-1,IF(AND(DATEVALUE("29/2/1992")&gt;(N4-1),(DATEVALUE("29/2/1992")&lt;=(M4))),-1,IF(AND(DATEVALUE("29/2/1988")&gt;(N4-1),(DATEVALUE("29/2/1988")&lt;=(M4))),-1,IF(AND(DATEVALUE("29/2/1984")&gt;(N4-1),(DATEVALUE("29/2/1984")&lt;=(M4))),-1,IF(AND(DATEVALUE("29/2/1980")&gt;(N4-1),(DATEVALUE("29/2/1980")&lt;=(M4))),-1,0))))))))))))))))))))))))))))))</f>
        <v>-1</v>
      </c>
    </row>
    <row r="5" spans="1:16" x14ac:dyDescent="0.2">
      <c r="A5" s="2">
        <f>EXAMPLE!C23</f>
        <v>45170</v>
      </c>
      <c r="B5" s="2">
        <f>EXAMPLE!D23</f>
        <v>45382</v>
      </c>
      <c r="C5" s="2">
        <f t="shared" ref="C5:C9" si="5">EOMONTH(A5, -1)</f>
        <v>45169</v>
      </c>
      <c r="D5" s="2">
        <f t="shared" si="0"/>
        <v>45412</v>
      </c>
      <c r="E5" s="2">
        <f t="shared" si="1"/>
        <v>45383</v>
      </c>
      <c r="F5" s="3">
        <f t="shared" ref="F5:F9" si="6">IF(AND(MONTH(B5)=MONTH(A5), YEAR(B5)=YEAR(A5)),"1",IF(YEAR(B5)=YEAR(A5),(((MONTH(B5))+1)-(MONTH(A5))),(((YEAR(B5)-YEAR(A5))*12)+(IF(MONTH(A5)=1,12,0))+(((MONTH((E5)-1)))-(MONTH(C5))))))</f>
        <v>7</v>
      </c>
      <c r="G5" s="3">
        <f t="shared" ref="G5:G9" si="7">A5-C5-1</f>
        <v>0</v>
      </c>
      <c r="H5">
        <f t="shared" ref="H5:H9" si="8">DAY(EOMONTH(C5,1))</f>
        <v>30</v>
      </c>
      <c r="I5">
        <f t="shared" si="2"/>
        <v>0</v>
      </c>
      <c r="J5">
        <f t="shared" si="3"/>
        <v>31</v>
      </c>
      <c r="K5" s="4">
        <f t="shared" si="4"/>
        <v>7</v>
      </c>
      <c r="M5" s="14"/>
      <c r="N5" s="14"/>
      <c r="O5" s="13"/>
    </row>
    <row r="6" spans="1:16" x14ac:dyDescent="0.2">
      <c r="A6" s="2" t="str">
        <f>EXAMPLE!C24</f>
        <v xml:space="preserve"> </v>
      </c>
      <c r="B6" s="2" t="str">
        <f>EXAMPLE!D24</f>
        <v xml:space="preserve"> </v>
      </c>
      <c r="C6" s="2" t="e">
        <f t="shared" si="5"/>
        <v>#VALUE!</v>
      </c>
      <c r="D6" s="2" t="e">
        <f t="shared" si="0"/>
        <v>#VALUE!</v>
      </c>
      <c r="E6" s="2" t="e">
        <f t="shared" si="1"/>
        <v>#VALUE!</v>
      </c>
      <c r="F6" s="3" t="e">
        <f t="shared" si="6"/>
        <v>#VALUE!</v>
      </c>
      <c r="G6" s="3" t="e">
        <f t="shared" si="7"/>
        <v>#VALUE!</v>
      </c>
      <c r="H6" t="e">
        <f t="shared" si="8"/>
        <v>#VALUE!</v>
      </c>
      <c r="I6" t="e">
        <f t="shared" si="2"/>
        <v>#VALUE!</v>
      </c>
      <c r="J6" t="e">
        <f t="shared" si="3"/>
        <v>#VALUE!</v>
      </c>
      <c r="K6" s="4" t="e">
        <f t="shared" si="4"/>
        <v>#VALUE!</v>
      </c>
      <c r="M6" s="14"/>
      <c r="N6" s="14"/>
      <c r="O6" s="13"/>
    </row>
    <row r="7" spans="1:16" x14ac:dyDescent="0.2">
      <c r="A7" s="2" t="str">
        <f>EXAMPLE!C25</f>
        <v xml:space="preserve"> </v>
      </c>
      <c r="B7" s="2" t="str">
        <f>EXAMPLE!D25</f>
        <v xml:space="preserve"> </v>
      </c>
      <c r="C7" s="2" t="e">
        <f t="shared" si="5"/>
        <v>#VALUE!</v>
      </c>
      <c r="D7" s="2" t="e">
        <f t="shared" si="0"/>
        <v>#VALUE!</v>
      </c>
      <c r="E7" s="2" t="e">
        <f t="shared" si="1"/>
        <v>#VALUE!</v>
      </c>
      <c r="F7" s="3" t="e">
        <f t="shared" si="6"/>
        <v>#VALUE!</v>
      </c>
      <c r="G7" s="3" t="e">
        <f t="shared" si="7"/>
        <v>#VALUE!</v>
      </c>
      <c r="H7" t="e">
        <f t="shared" si="8"/>
        <v>#VALUE!</v>
      </c>
      <c r="I7" t="e">
        <f t="shared" si="2"/>
        <v>#VALUE!</v>
      </c>
      <c r="J7" t="e">
        <f t="shared" si="3"/>
        <v>#VALUE!</v>
      </c>
      <c r="K7" s="4" t="e">
        <f t="shared" si="4"/>
        <v>#VALUE!</v>
      </c>
    </row>
    <row r="8" spans="1:16" x14ac:dyDescent="0.2">
      <c r="A8" s="2" t="str">
        <f>EXAMPLE!C26</f>
        <v xml:space="preserve"> </v>
      </c>
      <c r="B8" s="2" t="str">
        <f>EXAMPLE!D26</f>
        <v xml:space="preserve"> </v>
      </c>
      <c r="C8" s="2" t="e">
        <f t="shared" si="5"/>
        <v>#VALUE!</v>
      </c>
      <c r="D8" s="2" t="e">
        <f t="shared" si="0"/>
        <v>#VALUE!</v>
      </c>
      <c r="E8" s="2" t="e">
        <f t="shared" si="1"/>
        <v>#VALUE!</v>
      </c>
      <c r="F8" s="3" t="e">
        <f t="shared" si="6"/>
        <v>#VALUE!</v>
      </c>
      <c r="G8" s="3" t="e">
        <f t="shared" si="7"/>
        <v>#VALUE!</v>
      </c>
      <c r="H8" t="e">
        <f t="shared" si="8"/>
        <v>#VALUE!</v>
      </c>
      <c r="I8" t="e">
        <f t="shared" si="2"/>
        <v>#VALUE!</v>
      </c>
      <c r="J8" t="e">
        <f t="shared" si="3"/>
        <v>#VALUE!</v>
      </c>
      <c r="K8" s="4" t="e">
        <f t="shared" si="4"/>
        <v>#VALUE!</v>
      </c>
    </row>
    <row r="9" spans="1:16" x14ac:dyDescent="0.2">
      <c r="A9" s="2" t="str">
        <f>'Input &amp; Results'!B25</f>
        <v xml:space="preserve"> </v>
      </c>
      <c r="B9" s="2" t="str">
        <f>EXAMPLE!D27</f>
        <v xml:space="preserve"> </v>
      </c>
      <c r="C9" s="2" t="e">
        <f t="shared" si="5"/>
        <v>#VALUE!</v>
      </c>
      <c r="D9" s="2" t="e">
        <f t="shared" si="0"/>
        <v>#VALUE!</v>
      </c>
      <c r="E9" s="2" t="e">
        <f t="shared" si="1"/>
        <v>#VALUE!</v>
      </c>
      <c r="F9" s="3" t="e">
        <f t="shared" si="6"/>
        <v>#VALUE!</v>
      </c>
      <c r="G9" s="3" t="e">
        <f t="shared" si="7"/>
        <v>#VALUE!</v>
      </c>
      <c r="H9" t="e">
        <f t="shared" si="8"/>
        <v>#VALUE!</v>
      </c>
      <c r="I9" t="e">
        <f t="shared" si="2"/>
        <v>#VALUE!</v>
      </c>
      <c r="J9" t="e">
        <f t="shared" si="3"/>
        <v>#VALUE!</v>
      </c>
      <c r="K9" s="4" t="e">
        <f t="shared" si="4"/>
        <v>#VALUE!</v>
      </c>
    </row>
    <row r="15" spans="1:16" x14ac:dyDescent="0.2">
      <c r="M15" s="2"/>
    </row>
  </sheetData>
  <sheetProtection algorithmName="SHA-512" hashValue="tySZ0BOPkGx5dmgqRzqH77LaDlxnnSYxnIwGTeHpaW79GUue6Z22A4grlcRsInu6qQODaM+cAFmX2ZzvZiH5iA==" saltValue="M+XaU+2WKBA80hej2PYQH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BF8BD689F87643A05EA967DD0A9B6B" ma:contentTypeVersion="17" ma:contentTypeDescription="Create a new document." ma:contentTypeScope="" ma:versionID="5b51fa4a0d51e907f09a9a77327371e7">
  <xsd:schema xmlns:xsd="http://www.w3.org/2001/XMLSchema" xmlns:xs="http://www.w3.org/2001/XMLSchema" xmlns:p="http://schemas.microsoft.com/office/2006/metadata/properties" xmlns:ns2="903da782-ff01-4eb6-bfb8-7fab1db7d2c8" xmlns:ns3="5f08f1fb-8c34-44d6-a8d5-778f680b1754" targetNamespace="http://schemas.microsoft.com/office/2006/metadata/properties" ma:root="true" ma:fieldsID="26c746264aa71acfdc4dc0f32e4be9d0" ns2:_="" ns3:_="">
    <xsd:import namespace="903da782-ff01-4eb6-bfb8-7fab1db7d2c8"/>
    <xsd:import namespace="5f08f1fb-8c34-44d6-a8d5-778f680b17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da782-ff01-4eb6-bfb8-7fab1db7d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08f1fb-8c34-44d6-a8d5-778f680b175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7e59d4f-a105-457e-bcb2-8fe996d2d955}" ma:internalName="TaxCatchAll" ma:showField="CatchAllData" ma:web="5f08f1fb-8c34-44d6-a8d5-778f680b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D8F188-0E20-41F7-856D-286221515EDF}">
  <ds:schemaRefs>
    <ds:schemaRef ds:uri="http://schemas.microsoft.com/sharepoint/v3/contenttype/forms"/>
  </ds:schemaRefs>
</ds:datastoreItem>
</file>

<file path=customXml/itemProps2.xml><?xml version="1.0" encoding="utf-8"?>
<ds:datastoreItem xmlns:ds="http://schemas.openxmlformats.org/officeDocument/2006/customXml" ds:itemID="{74294E28-BA90-4E78-BE1F-84A4ED25A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da782-ff01-4eb6-bfb8-7fab1db7d2c8"/>
    <ds:schemaRef ds:uri="5f08f1fb-8c34-44d6-a8d5-778f680b1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Technical Stuff</vt:lpstr>
      <vt:lpstr>Input &amp; Results</vt:lpstr>
      <vt:lpstr>EXAMPLE</vt:lpstr>
      <vt:lpstr>Technical Stuff - EXAMPLE</vt:lpstr>
      <vt:lpstr>Sheet1</vt:lpstr>
      <vt:lpstr>'Input &amp; Results'!Print_Area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 PC</dc:creator>
  <cp:keywords/>
  <dc:description/>
  <cp:lastModifiedBy>Sharon Grimshaw</cp:lastModifiedBy>
  <cp:revision/>
  <cp:lastPrinted>2024-10-09T09:55:51Z</cp:lastPrinted>
  <dcterms:created xsi:type="dcterms:W3CDTF">2001-11-02T09:14:45Z</dcterms:created>
  <dcterms:modified xsi:type="dcterms:W3CDTF">2025-01-21T13:03:46Z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cd4a6a-7014-48d6-b119-9b8b87129a7e_Enabled">
    <vt:lpwstr>true</vt:lpwstr>
  </property>
  <property fmtid="{D5CDD505-2E9C-101B-9397-08002B2CF9AE}" pid="3" name="MSIP_Label_d9cd4a6a-7014-48d6-b119-9b8b87129a7e_SetDate">
    <vt:lpwstr>2024-10-08T14:44:51Z</vt:lpwstr>
  </property>
  <property fmtid="{D5CDD505-2E9C-101B-9397-08002B2CF9AE}" pid="4" name="MSIP_Label_d9cd4a6a-7014-48d6-b119-9b8b87129a7e_Method">
    <vt:lpwstr>Standard</vt:lpwstr>
  </property>
  <property fmtid="{D5CDD505-2E9C-101B-9397-08002B2CF9AE}" pid="5" name="MSIP_Label_d9cd4a6a-7014-48d6-b119-9b8b87129a7e_Name">
    <vt:lpwstr>d9cd4a6a-7014-48d6-b119-9b8b87129a7e</vt:lpwstr>
  </property>
  <property fmtid="{D5CDD505-2E9C-101B-9397-08002B2CF9AE}" pid="6" name="MSIP_Label_d9cd4a6a-7014-48d6-b119-9b8b87129a7e_SiteId">
    <vt:lpwstr>bf91f36f-ab89-4503-8c3f-04a029f837d3</vt:lpwstr>
  </property>
  <property fmtid="{D5CDD505-2E9C-101B-9397-08002B2CF9AE}" pid="7" name="MSIP_Label_d9cd4a6a-7014-48d6-b119-9b8b87129a7e_ActionId">
    <vt:lpwstr>3014bef7-b2c1-4f9a-99d1-99f73fd8faf0</vt:lpwstr>
  </property>
  <property fmtid="{D5CDD505-2E9C-101B-9397-08002B2CF9AE}" pid="8" name="MSIP_Label_d9cd4a6a-7014-48d6-b119-9b8b87129a7e_ContentBits">
    <vt:lpwstr>0</vt:lpwstr>
  </property>
</Properties>
</file>